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rzaleuke\Desktop\"/>
    </mc:Choice>
  </mc:AlternateContent>
  <workbookProtection workbookPassword="D18F" lockStructure="1"/>
  <bookViews>
    <workbookView xWindow="0" yWindow="0" windowWidth="20490" windowHeight="7455" firstSheet="4" activeTab="4"/>
  </bookViews>
  <sheets>
    <sheet name="database" sheetId="1" state="veryHidden" r:id="rId1"/>
    <sheet name="front end" sheetId="5" state="veryHidden" r:id="rId2"/>
    <sheet name="front-end details" sheetId="2" state="veryHidden" r:id="rId3"/>
    <sheet name="Tabelle1" sheetId="4" state="hidden" r:id="rId4"/>
    <sheet name="master front end" sheetId="8" r:id="rId5"/>
    <sheet name="masterfile" sheetId="7" state="veryHidden" r:id="rId6"/>
    <sheet name="data" sheetId="3" state="veryHidden" r:id="rId7"/>
    <sheet name="Tabelle2" sheetId="6" state="veryHidden" r:id="rId8"/>
  </sheets>
  <definedNames>
    <definedName name="_xlnm._FilterDatabase" localSheetId="4" hidden="1">'master front end'!$A$19:$J$21</definedName>
    <definedName name="certification">masterfile!$Q$27:$Q$31</definedName>
    <definedName name="current">masterfile!$O$27:$O$34</definedName>
    <definedName name="IP">masterfile!$M$27:$M$31</definedName>
    <definedName name="termination">masterfile!$P$27:$P$30</definedName>
    <definedName name="voltage">masterfile!$N$27:$N$35</definedName>
  </definedNames>
  <calcPr calcId="152511"/>
</workbook>
</file>

<file path=xl/calcChain.xml><?xml version="1.0" encoding="utf-8"?>
<calcChain xmlns="http://schemas.openxmlformats.org/spreadsheetml/2006/main">
  <c r="I27" i="7" l="1"/>
  <c r="I30" i="7"/>
  <c r="J30" i="7"/>
  <c r="D17" i="8"/>
  <c r="I31" i="7"/>
  <c r="J31" i="7"/>
  <c r="D19" i="8"/>
  <c r="H95" i="7"/>
  <c r="H106" i="7"/>
  <c r="I106" i="7"/>
  <c r="E28" i="8"/>
  <c r="H107" i="7"/>
  <c r="I107" i="7"/>
  <c r="E29" i="8"/>
  <c r="H109" i="7"/>
  <c r="I109" i="7"/>
  <c r="E31" i="8"/>
  <c r="H111" i="7"/>
  <c r="I111" i="7"/>
  <c r="E33" i="8"/>
  <c r="H113" i="7"/>
  <c r="I113" i="7"/>
  <c r="E35" i="8"/>
  <c r="H103" i="7"/>
  <c r="I103" i="7"/>
  <c r="E24" i="8"/>
  <c r="H102" i="7"/>
  <c r="I102" i="7"/>
  <c r="E23" i="8"/>
  <c r="H101" i="7"/>
  <c r="I101" i="7"/>
  <c r="E21" i="8"/>
  <c r="H97" i="7"/>
  <c r="I97" i="7"/>
  <c r="E16" i="8"/>
  <c r="H96" i="7"/>
  <c r="I96" i="7"/>
  <c r="E15" i="8"/>
  <c r="L72" i="7"/>
  <c r="L79" i="7" s="1"/>
  <c r="M79" i="7" s="1"/>
  <c r="H23" i="8" s="1"/>
  <c r="L73" i="7"/>
  <c r="M73" i="7" s="1"/>
  <c r="H15" i="8" s="1"/>
  <c r="M49" i="7"/>
  <c r="M54" i="7"/>
  <c r="N54" i="7"/>
  <c r="G20" i="8"/>
  <c r="M51" i="7"/>
  <c r="N51" i="7"/>
  <c r="G16" i="8"/>
  <c r="I118" i="7"/>
  <c r="I121" i="7"/>
  <c r="J121" i="7"/>
  <c r="F17" i="8"/>
  <c r="I120" i="7"/>
  <c r="J120" i="7"/>
  <c r="F16" i="8"/>
  <c r="F4" i="7"/>
  <c r="F15" i="7" s="1"/>
  <c r="G15" i="7" s="1"/>
  <c r="C28" i="8" s="1"/>
  <c r="F12" i="7"/>
  <c r="G12" i="7" s="1"/>
  <c r="C24" i="8" s="1"/>
  <c r="F6" i="7"/>
  <c r="G6" i="7"/>
  <c r="C16" i="8" s="1"/>
  <c r="M52" i="7"/>
  <c r="N52" i="7"/>
  <c r="G17" i="8"/>
  <c r="M53" i="7"/>
  <c r="N53" i="7"/>
  <c r="G19" i="8"/>
  <c r="M55" i="7"/>
  <c r="N55" i="7"/>
  <c r="G21" i="8"/>
  <c r="M56" i="7"/>
  <c r="N56" i="7"/>
  <c r="G23" i="8"/>
  <c r="M57" i="7"/>
  <c r="N57" i="7"/>
  <c r="G24" i="8"/>
  <c r="M58" i="7"/>
  <c r="N58" i="7"/>
  <c r="G25" i="8"/>
  <c r="M59" i="7"/>
  <c r="N59" i="7"/>
  <c r="G27" i="8"/>
  <c r="M60" i="7"/>
  <c r="N60" i="7"/>
  <c r="G28" i="8"/>
  <c r="I38" i="7"/>
  <c r="J38" i="7"/>
  <c r="D28" i="8" s="1"/>
  <c r="M61" i="7"/>
  <c r="N61" i="7"/>
  <c r="G29" i="8"/>
  <c r="M63" i="7"/>
  <c r="N63" i="7"/>
  <c r="G31" i="8"/>
  <c r="M64" i="7"/>
  <c r="N64" i="7"/>
  <c r="G32" i="8"/>
  <c r="M65" i="7"/>
  <c r="N65" i="7"/>
  <c r="G33" i="8"/>
  <c r="I135" i="7"/>
  <c r="J135" i="7"/>
  <c r="F34" i="8"/>
  <c r="M67" i="7"/>
  <c r="N67" i="7"/>
  <c r="G35" i="8"/>
  <c r="I136" i="7"/>
  <c r="J136" i="7"/>
  <c r="F35" i="8"/>
  <c r="I119" i="7"/>
  <c r="J119" i="7"/>
  <c r="F15" i="8"/>
  <c r="D22" i="7"/>
  <c r="D21" i="7"/>
  <c r="AC57" i="2"/>
  <c r="AA57" i="2"/>
  <c r="Y57" i="2"/>
  <c r="AC56" i="2"/>
  <c r="AA56" i="2"/>
  <c r="Y56" i="2"/>
  <c r="AC55" i="2"/>
  <c r="AA55" i="2"/>
  <c r="Y55" i="2"/>
  <c r="AC51" i="2"/>
  <c r="AA51" i="2"/>
  <c r="Y51" i="2"/>
  <c r="AC50" i="2"/>
  <c r="AA50" i="2"/>
  <c r="Y50" i="2"/>
  <c r="AC49" i="2"/>
  <c r="AA49" i="2"/>
  <c r="Y49" i="2"/>
  <c r="AC44" i="2"/>
  <c r="AA44" i="2"/>
  <c r="Y44" i="2"/>
  <c r="AC43" i="2"/>
  <c r="AA43" i="2"/>
  <c r="Y43" i="2"/>
  <c r="AC42" i="2"/>
  <c r="AA42" i="2"/>
  <c r="Y42" i="2"/>
  <c r="AC37" i="2"/>
  <c r="AA37" i="2"/>
  <c r="Y37" i="2"/>
  <c r="AC36" i="2"/>
  <c r="AA36" i="2"/>
  <c r="Y36" i="2"/>
  <c r="AC35" i="2"/>
  <c r="AA35" i="2"/>
  <c r="Y35" i="2"/>
  <c r="AC30" i="2"/>
  <c r="AA30" i="2"/>
  <c r="Y30" i="2"/>
  <c r="AC29" i="2"/>
  <c r="AA29" i="2"/>
  <c r="Y29" i="2"/>
  <c r="AC28" i="2"/>
  <c r="AA28" i="2"/>
  <c r="Y28" i="2"/>
  <c r="J15" i="6"/>
  <c r="J24" i="6"/>
  <c r="K24" i="6"/>
  <c r="O23" i="2"/>
  <c r="AC23" i="2"/>
  <c r="J21" i="6"/>
  <c r="K21" i="6"/>
  <c r="M23" i="2"/>
  <c r="AA23" i="2"/>
  <c r="J18" i="6"/>
  <c r="K18" i="6"/>
  <c r="K23" i="2"/>
  <c r="Y23" i="2"/>
  <c r="J23" i="6"/>
  <c r="K23" i="6"/>
  <c r="O22" i="2"/>
  <c r="AC22" i="2"/>
  <c r="J20" i="6"/>
  <c r="K20" i="6"/>
  <c r="M22" i="2"/>
  <c r="AA22" i="2"/>
  <c r="J17" i="6"/>
  <c r="K17" i="6"/>
  <c r="K22" i="2"/>
  <c r="Y22" i="2"/>
  <c r="J22" i="6"/>
  <c r="K22" i="6"/>
  <c r="O21" i="2"/>
  <c r="AC21" i="2"/>
  <c r="J19" i="6"/>
  <c r="K19" i="6"/>
  <c r="M21" i="2"/>
  <c r="AA21" i="2"/>
  <c r="J16" i="6"/>
  <c r="K16" i="6"/>
  <c r="K21" i="2"/>
  <c r="Y21" i="2"/>
  <c r="AC8" i="2"/>
  <c r="I3" i="6"/>
  <c r="I11" i="6"/>
  <c r="J11" i="6"/>
  <c r="O15" i="2"/>
  <c r="AC15" i="2"/>
  <c r="I10" i="6"/>
  <c r="J10" i="6"/>
  <c r="O14" i="2"/>
  <c r="AC14" i="2"/>
  <c r="I7" i="6"/>
  <c r="J7" i="6"/>
  <c r="M14" i="2"/>
  <c r="AA14" i="2"/>
  <c r="I6" i="6"/>
  <c r="J6" i="6"/>
  <c r="K16" i="2"/>
  <c r="Y16" i="2"/>
  <c r="F61" i="6"/>
  <c r="F69" i="6"/>
  <c r="G69" i="6"/>
  <c r="O8" i="2"/>
  <c r="F68" i="6"/>
  <c r="G68" i="6"/>
  <c r="O7" i="2"/>
  <c r="AC7" i="2"/>
  <c r="F65" i="6"/>
  <c r="G65" i="6"/>
  <c r="M7" i="2"/>
  <c r="AA7" i="2"/>
  <c r="F64" i="6"/>
  <c r="G64" i="6"/>
  <c r="K9" i="2"/>
  <c r="Y9" i="2"/>
  <c r="L23" i="5"/>
  <c r="M23" i="5"/>
  <c r="K23" i="5"/>
  <c r="B50" i="2"/>
  <c r="F43" i="3"/>
  <c r="F47" i="3"/>
  <c r="G47" i="3"/>
  <c r="G49" i="2"/>
  <c r="T49" i="2"/>
  <c r="B43" i="2"/>
  <c r="H79" i="3"/>
  <c r="H84" i="3"/>
  <c r="I84" i="3"/>
  <c r="H85" i="3"/>
  <c r="I85" i="3"/>
  <c r="G44" i="2"/>
  <c r="T44" i="2"/>
  <c r="B36" i="2"/>
  <c r="G67" i="3"/>
  <c r="B29" i="2"/>
  <c r="U6" i="3"/>
  <c r="U11" i="3"/>
  <c r="V11" i="3"/>
  <c r="U12" i="3"/>
  <c r="V12" i="3"/>
  <c r="G30" i="2"/>
  <c r="T30" i="2"/>
  <c r="G55" i="3"/>
  <c r="G59" i="3"/>
  <c r="I59" i="3"/>
  <c r="G21" i="2"/>
  <c r="T21" i="2"/>
  <c r="J31" i="3"/>
  <c r="B8" i="2"/>
  <c r="X13" i="4"/>
  <c r="Z18" i="4"/>
  <c r="X18" i="4"/>
  <c r="Z19" i="4"/>
  <c r="X19" i="4"/>
  <c r="G9" i="2"/>
  <c r="T9" i="2"/>
  <c r="G43" i="2"/>
  <c r="T43" i="2"/>
  <c r="G29" i="2"/>
  <c r="T29" i="2"/>
  <c r="G8" i="2"/>
  <c r="T8" i="2"/>
  <c r="H83" i="3"/>
  <c r="I83" i="3"/>
  <c r="G42" i="2"/>
  <c r="T42" i="2"/>
  <c r="G71" i="3"/>
  <c r="I71" i="3"/>
  <c r="G35" i="2"/>
  <c r="T35" i="2"/>
  <c r="U10" i="3"/>
  <c r="V10" i="3"/>
  <c r="G28" i="2"/>
  <c r="T28" i="2"/>
  <c r="J35" i="3"/>
  <c r="L35" i="3"/>
  <c r="G14" i="2"/>
  <c r="T14" i="2"/>
  <c r="Z17" i="4"/>
  <c r="X17" i="4"/>
  <c r="G7" i="2"/>
  <c r="T7" i="2"/>
  <c r="H82" i="3"/>
  <c r="I82" i="3"/>
  <c r="E44" i="2"/>
  <c r="R44" i="2"/>
  <c r="U9" i="3"/>
  <c r="V9" i="3"/>
  <c r="E30" i="2"/>
  <c r="R30" i="2"/>
  <c r="Z16" i="4"/>
  <c r="X16" i="4"/>
  <c r="E9" i="2"/>
  <c r="R9" i="2"/>
  <c r="H81" i="3"/>
  <c r="I81" i="3"/>
  <c r="E43" i="2"/>
  <c r="R43" i="2"/>
  <c r="U8" i="3"/>
  <c r="V8" i="3"/>
  <c r="E29" i="2"/>
  <c r="R29" i="2"/>
  <c r="J33" i="3"/>
  <c r="L33" i="3"/>
  <c r="E15" i="2"/>
  <c r="R15" i="2"/>
  <c r="Z15" i="4"/>
  <c r="X15" i="4"/>
  <c r="E8" i="2"/>
  <c r="R8" i="2"/>
  <c r="H80" i="3"/>
  <c r="I80" i="3"/>
  <c r="E42" i="2"/>
  <c r="R42" i="2"/>
  <c r="U7" i="3"/>
  <c r="V7" i="3"/>
  <c r="E28" i="2"/>
  <c r="R28" i="2"/>
  <c r="Z14" i="4"/>
  <c r="X14" i="4"/>
  <c r="E7" i="2"/>
  <c r="R7" i="2"/>
  <c r="F52" i="3"/>
  <c r="G52" i="3"/>
  <c r="I51" i="2"/>
  <c r="V51" i="2"/>
  <c r="H88" i="3"/>
  <c r="I88" i="3"/>
  <c r="I44" i="2"/>
  <c r="V44" i="2"/>
  <c r="U15" i="3"/>
  <c r="V15" i="3"/>
  <c r="I30" i="2"/>
  <c r="V30" i="2"/>
  <c r="G64" i="3"/>
  <c r="I64" i="3"/>
  <c r="I23" i="2"/>
  <c r="V23" i="2"/>
  <c r="J40" i="3"/>
  <c r="L40" i="3"/>
  <c r="I16" i="2"/>
  <c r="V16" i="2"/>
  <c r="Z22" i="4"/>
  <c r="X22" i="4"/>
  <c r="I9" i="2"/>
  <c r="V9" i="2"/>
  <c r="H87" i="3"/>
  <c r="I87" i="3"/>
  <c r="I43" i="2"/>
  <c r="V43" i="2"/>
  <c r="U14" i="3"/>
  <c r="V14" i="3"/>
  <c r="I29" i="2"/>
  <c r="V29" i="2"/>
  <c r="J39" i="3"/>
  <c r="L39" i="3"/>
  <c r="I15" i="2"/>
  <c r="V15" i="2"/>
  <c r="Z21" i="4"/>
  <c r="X21" i="4"/>
  <c r="I8" i="2"/>
  <c r="V8" i="2"/>
  <c r="H86" i="3"/>
  <c r="I86" i="3"/>
  <c r="I42" i="2"/>
  <c r="V42" i="2"/>
  <c r="U13" i="3"/>
  <c r="V13" i="3"/>
  <c r="I28" i="2"/>
  <c r="V28" i="2"/>
  <c r="J38" i="3"/>
  <c r="L38" i="3"/>
  <c r="I14" i="2"/>
  <c r="V14" i="2"/>
  <c r="Z20" i="4"/>
  <c r="X20" i="4"/>
  <c r="I7" i="2"/>
  <c r="V7" i="2"/>
  <c r="Z13" i="4"/>
  <c r="T55" i="2"/>
  <c r="O14" i="5"/>
  <c r="G73" i="3"/>
  <c r="I73" i="3"/>
  <c r="G37" i="2"/>
  <c r="T37" i="2"/>
  <c r="G72" i="3"/>
  <c r="I72" i="3"/>
  <c r="G36" i="2"/>
  <c r="T36" i="2"/>
  <c r="G70" i="3"/>
  <c r="I70" i="3"/>
  <c r="E37" i="2"/>
  <c r="R37" i="2"/>
  <c r="G68" i="3"/>
  <c r="I68" i="3"/>
  <c r="E35" i="2"/>
  <c r="R35" i="2"/>
  <c r="G74" i="3"/>
  <c r="I74" i="3"/>
  <c r="I35" i="2"/>
  <c r="V35" i="2"/>
  <c r="G75" i="3"/>
  <c r="I75" i="3"/>
  <c r="I36" i="2"/>
  <c r="V36" i="2"/>
  <c r="F45" i="3"/>
  <c r="G45" i="3"/>
  <c r="E50" i="2"/>
  <c r="R50" i="2"/>
  <c r="R56" i="2"/>
  <c r="L14" i="5"/>
  <c r="G76" i="3"/>
  <c r="I76" i="3"/>
  <c r="I37" i="2"/>
  <c r="V37" i="2"/>
  <c r="V57" i="2"/>
  <c r="G60" i="3"/>
  <c r="I60" i="3"/>
  <c r="G22" i="2"/>
  <c r="T22" i="2"/>
  <c r="G58" i="3"/>
  <c r="I58" i="3"/>
  <c r="E23" i="2"/>
  <c r="R23" i="2"/>
  <c r="G56" i="3"/>
  <c r="I56" i="3"/>
  <c r="E21" i="2"/>
  <c r="R21" i="2"/>
  <c r="G63" i="3"/>
  <c r="I63" i="3"/>
  <c r="I22" i="2"/>
  <c r="V22" i="2"/>
  <c r="G62" i="3"/>
  <c r="I62" i="3"/>
  <c r="I21" i="2"/>
  <c r="V21" i="2"/>
  <c r="G61" i="3"/>
  <c r="I61" i="3"/>
  <c r="G23" i="2"/>
  <c r="T23" i="2"/>
  <c r="F49" i="3"/>
  <c r="G49" i="3"/>
  <c r="G51" i="2"/>
  <c r="T51" i="2"/>
  <c r="T57" i="2"/>
  <c r="Q14" i="5"/>
  <c r="F48" i="3"/>
  <c r="G48" i="3"/>
  <c r="G50" i="2"/>
  <c r="T50" i="2"/>
  <c r="F46" i="3"/>
  <c r="G46" i="3"/>
  <c r="E51" i="2"/>
  <c r="R51" i="2"/>
  <c r="F44" i="3"/>
  <c r="G44" i="3"/>
  <c r="E49" i="2"/>
  <c r="R49" i="2"/>
  <c r="F50" i="3"/>
  <c r="G50" i="3"/>
  <c r="I49" i="2"/>
  <c r="V49" i="2"/>
  <c r="V55" i="2"/>
  <c r="F51" i="3"/>
  <c r="G51" i="3"/>
  <c r="I50" i="2"/>
  <c r="V50" i="2"/>
  <c r="G57" i="3"/>
  <c r="I57" i="3"/>
  <c r="E22" i="2"/>
  <c r="R22" i="2"/>
  <c r="G69" i="3"/>
  <c r="I69" i="3"/>
  <c r="E36" i="2"/>
  <c r="R36" i="2"/>
  <c r="I12" i="6"/>
  <c r="J12" i="6"/>
  <c r="O16" i="2"/>
  <c r="AC16" i="2"/>
  <c r="I8" i="6"/>
  <c r="J8" i="6"/>
  <c r="M15" i="2"/>
  <c r="AA15" i="2"/>
  <c r="I4" i="6"/>
  <c r="J4" i="6"/>
  <c r="K14" i="2"/>
  <c r="Y14" i="2"/>
  <c r="I9" i="6"/>
  <c r="J9" i="6"/>
  <c r="M16" i="2"/>
  <c r="AA16" i="2"/>
  <c r="I5" i="6"/>
  <c r="J5" i="6"/>
  <c r="K15" i="2"/>
  <c r="Y15" i="2"/>
  <c r="J37" i="3"/>
  <c r="L37" i="3"/>
  <c r="G16" i="2"/>
  <c r="T16" i="2"/>
  <c r="J36" i="3"/>
  <c r="L36" i="3"/>
  <c r="G15" i="2"/>
  <c r="T15" i="2"/>
  <c r="J34" i="3"/>
  <c r="L34" i="3"/>
  <c r="E16" i="2"/>
  <c r="R16" i="2"/>
  <c r="J32" i="3"/>
  <c r="L32" i="3"/>
  <c r="E14" i="2"/>
  <c r="R14" i="2"/>
  <c r="F70" i="6"/>
  <c r="G70" i="6"/>
  <c r="O9" i="2"/>
  <c r="AC9" i="2"/>
  <c r="F66" i="6"/>
  <c r="G66" i="6"/>
  <c r="M8" i="2"/>
  <c r="AA8" i="2"/>
  <c r="F62" i="6"/>
  <c r="G62" i="6"/>
  <c r="K7" i="2"/>
  <c r="Y7" i="2"/>
  <c r="F67" i="6"/>
  <c r="G67" i="6"/>
  <c r="M9" i="2"/>
  <c r="AA9" i="2"/>
  <c r="F63" i="6"/>
  <c r="G63" i="6"/>
  <c r="K8" i="2"/>
  <c r="Y8" i="2"/>
  <c r="H99" i="7"/>
  <c r="I99" i="7"/>
  <c r="E19" i="8"/>
  <c r="H104" i="7"/>
  <c r="I104" i="7"/>
  <c r="E25" i="8"/>
  <c r="H112" i="7"/>
  <c r="I112" i="7"/>
  <c r="E34" i="8"/>
  <c r="H108" i="7"/>
  <c r="I108" i="7"/>
  <c r="E30" i="8"/>
  <c r="I134" i="7"/>
  <c r="J134" i="7"/>
  <c r="F33" i="8"/>
  <c r="I133" i="7"/>
  <c r="J133" i="7"/>
  <c r="F32" i="8"/>
  <c r="I132" i="7"/>
  <c r="J132" i="7"/>
  <c r="F31" i="8"/>
  <c r="I131" i="7"/>
  <c r="J131" i="7"/>
  <c r="F30" i="8"/>
  <c r="I130" i="7"/>
  <c r="J130" i="7"/>
  <c r="F29" i="8"/>
  <c r="I129" i="7"/>
  <c r="J129" i="7"/>
  <c r="F28" i="8"/>
  <c r="I128" i="7"/>
  <c r="J128" i="7"/>
  <c r="F27" i="8"/>
  <c r="I127" i="7"/>
  <c r="J127" i="7"/>
  <c r="F25" i="8"/>
  <c r="I126" i="7"/>
  <c r="J126" i="7"/>
  <c r="F24" i="8"/>
  <c r="I125" i="7"/>
  <c r="J125" i="7"/>
  <c r="F23" i="8"/>
  <c r="I124" i="7"/>
  <c r="J124" i="7"/>
  <c r="F21" i="8"/>
  <c r="I123" i="7"/>
  <c r="J123" i="7"/>
  <c r="F20" i="8"/>
  <c r="I122" i="7"/>
  <c r="J122" i="7"/>
  <c r="F19" i="8"/>
  <c r="H98" i="7"/>
  <c r="I98" i="7"/>
  <c r="E17" i="8"/>
  <c r="H100" i="7"/>
  <c r="I100" i="7"/>
  <c r="E20" i="8"/>
  <c r="H105" i="7"/>
  <c r="I105" i="7"/>
  <c r="E27" i="8"/>
  <c r="H110" i="7"/>
  <c r="I110" i="7"/>
  <c r="E32" i="8"/>
  <c r="R55" i="2"/>
  <c r="K14" i="5"/>
  <c r="R57" i="2"/>
  <c r="M14" i="5"/>
  <c r="V56" i="2"/>
  <c r="T56" i="2"/>
  <c r="P14" i="5"/>
  <c r="I36" i="7"/>
  <c r="J36" i="7"/>
  <c r="D25" i="8"/>
  <c r="I43" i="7"/>
  <c r="J43" i="7"/>
  <c r="D33" i="8"/>
  <c r="F20" i="7"/>
  <c r="G20" i="7" s="1"/>
  <c r="C33" i="8" s="1"/>
  <c r="I32" i="7"/>
  <c r="J32" i="7"/>
  <c r="D20" i="8"/>
  <c r="I34" i="7"/>
  <c r="J34" i="7" s="1"/>
  <c r="D23" i="8" s="1"/>
  <c r="I45" i="7"/>
  <c r="J45" i="7"/>
  <c r="D35" i="8" s="1"/>
  <c r="I39" i="7"/>
  <c r="J39" i="7"/>
  <c r="D29" i="8"/>
  <c r="I44" i="7"/>
  <c r="J44" i="7"/>
  <c r="D34" i="8"/>
  <c r="I35" i="7"/>
  <c r="J35" i="7" s="1"/>
  <c r="D24" i="8" s="1"/>
  <c r="I41" i="7"/>
  <c r="J41" i="7"/>
  <c r="D31" i="8" s="1"/>
  <c r="I28" i="7"/>
  <c r="J28" i="7"/>
  <c r="D15" i="8"/>
  <c r="L80" i="7"/>
  <c r="M80" i="7"/>
  <c r="H24" i="8" s="1"/>
  <c r="L82" i="7"/>
  <c r="M82" i="7" s="1"/>
  <c r="H27" i="8" s="1"/>
  <c r="M50" i="7"/>
  <c r="N50" i="7"/>
  <c r="G15" i="8"/>
  <c r="M66" i="7"/>
  <c r="N66" i="7"/>
  <c r="G34" i="8"/>
  <c r="M62" i="7"/>
  <c r="N62" i="7"/>
  <c r="G30" i="8"/>
  <c r="I40" i="7"/>
  <c r="J40" i="7"/>
  <c r="D30" i="8"/>
  <c r="I37" i="7"/>
  <c r="J37" i="7" s="1"/>
  <c r="D27" i="8" s="1"/>
  <c r="I42" i="7"/>
  <c r="J42" i="7"/>
  <c r="D32" i="8" s="1"/>
  <c r="I33" i="7"/>
  <c r="J33" i="7"/>
  <c r="D21" i="8"/>
  <c r="I29" i="7"/>
  <c r="J29" i="7"/>
  <c r="D16" i="8"/>
  <c r="F14" i="7"/>
  <c r="G14" i="7"/>
  <c r="C27" i="8" s="1"/>
  <c r="F16" i="7"/>
  <c r="G16" i="7" s="1"/>
  <c r="C29" i="8" s="1"/>
  <c r="F13" i="7"/>
  <c r="G13" i="7"/>
  <c r="C25" i="8" s="1"/>
  <c r="F17" i="7"/>
  <c r="G17" i="7"/>
  <c r="C30" i="8" s="1"/>
  <c r="F11" i="7"/>
  <c r="G11" i="7" s="1"/>
  <c r="C23" i="8" s="1"/>
  <c r="F7" i="7"/>
  <c r="G7" i="7" s="1"/>
  <c r="C17" i="8" s="1"/>
  <c r="F9" i="7"/>
  <c r="G9" i="7" s="1"/>
  <c r="C20" i="8" s="1"/>
  <c r="L85" i="7" l="1"/>
  <c r="M85" i="7" s="1"/>
  <c r="H30" i="8" s="1"/>
  <c r="J30" i="8" s="1"/>
  <c r="L77" i="7"/>
  <c r="M77" i="7" s="1"/>
  <c r="H20" i="8" s="1"/>
  <c r="J20" i="8" s="1"/>
  <c r="L89" i="7"/>
  <c r="M89" i="7" s="1"/>
  <c r="H34" i="8" s="1"/>
  <c r="L78" i="7"/>
  <c r="M78" i="7" s="1"/>
  <c r="H21" i="8" s="1"/>
  <c r="L75" i="7"/>
  <c r="M75" i="7" s="1"/>
  <c r="H17" i="8" s="1"/>
  <c r="J17" i="8" s="1"/>
  <c r="L81" i="7"/>
  <c r="M81" i="7" s="1"/>
  <c r="H25" i="8" s="1"/>
  <c r="I25" i="8" s="1"/>
  <c r="L87" i="7"/>
  <c r="M87" i="7" s="1"/>
  <c r="H32" i="8" s="1"/>
  <c r="I24" i="8"/>
  <c r="J23" i="8"/>
  <c r="F19" i="7"/>
  <c r="G19" i="7" s="1"/>
  <c r="C32" i="8" s="1"/>
  <c r="F10" i="7"/>
  <c r="G10" i="7" s="1"/>
  <c r="C21" i="8" s="1"/>
  <c r="F21" i="7"/>
  <c r="G21" i="7" s="1"/>
  <c r="C34" i="8" s="1"/>
  <c r="J34" i="8" s="1"/>
  <c r="F8" i="7"/>
  <c r="G8" i="7" s="1"/>
  <c r="C19" i="8" s="1"/>
  <c r="J25" i="8"/>
  <c r="F22" i="7"/>
  <c r="G22" i="7" s="1"/>
  <c r="C35" i="8" s="1"/>
  <c r="I32" i="8"/>
  <c r="F5" i="7"/>
  <c r="G5" i="7" s="1"/>
  <c r="C15" i="8" s="1"/>
  <c r="F18" i="7"/>
  <c r="G18" i="7" s="1"/>
  <c r="C31" i="8" s="1"/>
  <c r="J32" i="8"/>
  <c r="J24" i="8"/>
  <c r="I15" i="8"/>
  <c r="I23" i="8"/>
  <c r="L76" i="7"/>
  <c r="M76" i="7" s="1"/>
  <c r="H19" i="8" s="1"/>
  <c r="I19" i="8" s="1"/>
  <c r="L88" i="7"/>
  <c r="M88" i="7" s="1"/>
  <c r="H33" i="8" s="1"/>
  <c r="I33" i="8" s="1"/>
  <c r="L83" i="7"/>
  <c r="M83" i="7" s="1"/>
  <c r="H28" i="8" s="1"/>
  <c r="J28" i="8" s="1"/>
  <c r="L86" i="7"/>
  <c r="M86" i="7" s="1"/>
  <c r="H31" i="8" s="1"/>
  <c r="J31" i="8" s="1"/>
  <c r="J27" i="8"/>
  <c r="L90" i="7"/>
  <c r="M90" i="7" s="1"/>
  <c r="H35" i="8" s="1"/>
  <c r="I35" i="8" s="1"/>
  <c r="L74" i="7"/>
  <c r="M74" i="7" s="1"/>
  <c r="H16" i="8" s="1"/>
  <c r="J16" i="8" s="1"/>
  <c r="L84" i="7"/>
  <c r="M84" i="7" s="1"/>
  <c r="H29" i="8" s="1"/>
  <c r="I29" i="8" s="1"/>
  <c r="J33" i="8"/>
  <c r="I30" i="8"/>
  <c r="I34" i="8"/>
  <c r="I20" i="8"/>
  <c r="I27" i="8"/>
  <c r="J15" i="8"/>
  <c r="I17" i="8" l="1"/>
  <c r="J19" i="8"/>
  <c r="J21" i="8"/>
  <c r="I16" i="8"/>
  <c r="I31" i="8"/>
  <c r="I21" i="8"/>
  <c r="J35" i="8"/>
  <c r="I28" i="8"/>
  <c r="J29" i="8"/>
</calcChain>
</file>

<file path=xl/sharedStrings.xml><?xml version="1.0" encoding="utf-8"?>
<sst xmlns="http://schemas.openxmlformats.org/spreadsheetml/2006/main" count="1421" uniqueCount="103">
  <si>
    <t>C091</t>
  </si>
  <si>
    <t>C091A</t>
  </si>
  <si>
    <t>C091B</t>
  </si>
  <si>
    <t>C091D</t>
  </si>
  <si>
    <t>C016</t>
  </si>
  <si>
    <t>C016M</t>
  </si>
  <si>
    <t>C16-3</t>
  </si>
  <si>
    <t>C16-L</t>
  </si>
  <si>
    <t>motionmate</t>
  </si>
  <si>
    <t>M23A</t>
  </si>
  <si>
    <t>M23B</t>
  </si>
  <si>
    <t>M40C</t>
  </si>
  <si>
    <t># poles</t>
  </si>
  <si>
    <t>#IP</t>
  </si>
  <si>
    <t>IP40</t>
  </si>
  <si>
    <t>IP65</t>
  </si>
  <si>
    <t>IP67</t>
  </si>
  <si>
    <t>x</t>
  </si>
  <si>
    <t># of contacts</t>
  </si>
  <si>
    <t>protection class</t>
  </si>
  <si>
    <t>voltage</t>
  </si>
  <si>
    <t>operating temperature</t>
  </si>
  <si>
    <t>termination technique</t>
  </si>
  <si>
    <t>certification</t>
  </si>
  <si>
    <t>3+PE</t>
  </si>
  <si>
    <t>6+Pe</t>
  </si>
  <si>
    <t>6+PE</t>
  </si>
  <si>
    <t>current carrying capacity</t>
  </si>
  <si>
    <t>up to 16A</t>
  </si>
  <si>
    <t>screwing</t>
  </si>
  <si>
    <t>soldering</t>
  </si>
  <si>
    <t>crimping</t>
  </si>
  <si>
    <t>spring</t>
  </si>
  <si>
    <t>-40 + 125°C</t>
  </si>
  <si>
    <t>UL</t>
  </si>
  <si>
    <t>VDE</t>
  </si>
  <si>
    <t>SEV</t>
  </si>
  <si>
    <t>CSA</t>
  </si>
  <si>
    <t>German Lloyd</t>
  </si>
  <si>
    <t>2+3</t>
  </si>
  <si>
    <t>up to 5A</t>
  </si>
  <si>
    <t>up to 900V</t>
  </si>
  <si>
    <t>up to 50A</t>
  </si>
  <si>
    <t>17+PE</t>
  </si>
  <si>
    <t>5+PE</t>
  </si>
  <si>
    <t>12+PE</t>
  </si>
  <si>
    <t>14+PE</t>
  </si>
  <si>
    <t>19+PE</t>
  </si>
  <si>
    <t>xx</t>
  </si>
  <si>
    <t>(x)</t>
  </si>
  <si>
    <t>IP class</t>
  </si>
  <si>
    <t>IP</t>
  </si>
  <si>
    <t>selected</t>
  </si>
  <si>
    <t>cache</t>
  </si>
  <si>
    <t>Voltage</t>
  </si>
  <si>
    <t>up to 400V</t>
  </si>
  <si>
    <t>up to 150V</t>
  </si>
  <si>
    <t>up to 250V</t>
  </si>
  <si>
    <t>up to 300V</t>
  </si>
  <si>
    <t>up to 100V</t>
  </si>
  <si>
    <t>selection</t>
  </si>
  <si>
    <t>current</t>
  </si>
  <si>
    <t>termination</t>
  </si>
  <si>
    <t>certifications</t>
  </si>
  <si>
    <t>temperature</t>
  </si>
  <si>
    <t>temperature range</t>
  </si>
  <si>
    <t>Preselection tool</t>
  </si>
  <si>
    <t>factor</t>
  </si>
  <si>
    <t>ecomate</t>
  </si>
  <si>
    <t>D</t>
  </si>
  <si>
    <t>DD</t>
  </si>
  <si>
    <t>EE</t>
  </si>
  <si>
    <t>A</t>
  </si>
  <si>
    <t>Q</t>
  </si>
  <si>
    <t>K</t>
  </si>
  <si>
    <t>F</t>
  </si>
  <si>
    <t>M</t>
  </si>
  <si>
    <t>Volt</t>
  </si>
  <si>
    <t>up to 830V</t>
  </si>
  <si>
    <t>up to 1.000V</t>
  </si>
  <si>
    <t>up to 500V</t>
  </si>
  <si>
    <t>up to 10A</t>
  </si>
  <si>
    <t>up to 22A</t>
  </si>
  <si>
    <t>up to 40A</t>
  </si>
  <si>
    <t>up to 80A</t>
  </si>
  <si>
    <t>up to 240A</t>
  </si>
  <si>
    <t>E</t>
  </si>
  <si>
    <t>number of poles</t>
  </si>
  <si>
    <t>crimp</t>
  </si>
  <si>
    <t>screw</t>
  </si>
  <si>
    <t>min</t>
  </si>
  <si>
    <t>max</t>
  </si>
  <si>
    <t>stamped contacts?</t>
  </si>
  <si>
    <t>yes</t>
  </si>
  <si>
    <t>no</t>
  </si>
  <si>
    <t>heavymate</t>
  </si>
  <si>
    <t>IP68</t>
  </si>
  <si>
    <t>-</t>
  </si>
  <si>
    <t>number of contacts</t>
  </si>
  <si>
    <t># contacts</t>
  </si>
  <si>
    <t>motion|grade</t>
  </si>
  <si>
    <t>heavy|mate</t>
  </si>
  <si>
    <t>ECO/Mate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</si>
</sst>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b/>
      <sz val="2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quotePrefix="1"/>
    <xf numFmtId="0" fontId="0" fillId="2" borderId="1" xfId="0" applyFill="1" applyBorder="1"/>
    <xf numFmtId="0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0" fillId="0" borderId="4" xfId="0" applyBorder="1"/>
    <xf numFmtId="0" fontId="0" fillId="6" borderId="0" xfId="0" applyFill="1"/>
    <xf numFmtId="0" fontId="0" fillId="0" borderId="0" xfId="0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0" fillId="0" borderId="7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9" xfId="0" applyFill="1" applyBorder="1" applyAlignment="1" applyProtection="1">
      <alignment horizontal="center"/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0" fillId="0" borderId="11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6" borderId="0" xfId="0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7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152400</xdr:rowOff>
    </xdr:from>
    <xdr:to>
      <xdr:col>2</xdr:col>
      <xdr:colOff>228600</xdr:colOff>
      <xdr:row>3</xdr:row>
      <xdr:rowOff>66675</xdr:rowOff>
    </xdr:to>
    <xdr:pic>
      <xdr:nvPicPr>
        <xdr:cNvPr id="3143" name="Picture 1" descr="industrial@amphen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2400"/>
          <a:ext cx="1924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8</xdr:row>
      <xdr:rowOff>114300</xdr:rowOff>
    </xdr:from>
    <xdr:to>
      <xdr:col>10</xdr:col>
      <xdr:colOff>1038225</xdr:colOff>
      <xdr:row>12</xdr:row>
      <xdr:rowOff>66675</xdr:rowOff>
    </xdr:to>
    <xdr:pic>
      <xdr:nvPicPr>
        <xdr:cNvPr id="3144" name="Picture 11" descr="C091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428750"/>
          <a:ext cx="962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8</xdr:row>
      <xdr:rowOff>104775</xdr:rowOff>
    </xdr:from>
    <xdr:to>
      <xdr:col>11</xdr:col>
      <xdr:colOff>1019175</xdr:colOff>
      <xdr:row>12</xdr:row>
      <xdr:rowOff>57150</xdr:rowOff>
    </xdr:to>
    <xdr:pic>
      <xdr:nvPicPr>
        <xdr:cNvPr id="3145" name="Picture 15" descr="C091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419225"/>
          <a:ext cx="962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8</xdr:row>
      <xdr:rowOff>123825</xdr:rowOff>
    </xdr:from>
    <xdr:to>
      <xdr:col>12</xdr:col>
      <xdr:colOff>1000125</xdr:colOff>
      <xdr:row>12</xdr:row>
      <xdr:rowOff>76200</xdr:rowOff>
    </xdr:to>
    <xdr:pic>
      <xdr:nvPicPr>
        <xdr:cNvPr id="3146" name="Picture 16" descr="C091D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438275"/>
          <a:ext cx="962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28575</xdr:colOff>
      <xdr:row>8</xdr:row>
      <xdr:rowOff>114300</xdr:rowOff>
    </xdr:from>
    <xdr:to>
      <xdr:col>14</xdr:col>
      <xdr:colOff>990600</xdr:colOff>
      <xdr:row>12</xdr:row>
      <xdr:rowOff>66675</xdr:rowOff>
    </xdr:to>
    <xdr:pic>
      <xdr:nvPicPr>
        <xdr:cNvPr id="3147" name="Picture 20" descr="ecomate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1428750"/>
          <a:ext cx="962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133350</xdr:colOff>
      <xdr:row>8</xdr:row>
      <xdr:rowOff>133350</xdr:rowOff>
    </xdr:from>
    <xdr:to>
      <xdr:col>15</xdr:col>
      <xdr:colOff>857250</xdr:colOff>
      <xdr:row>11</xdr:row>
      <xdr:rowOff>95250</xdr:rowOff>
    </xdr:to>
    <xdr:pic>
      <xdr:nvPicPr>
        <xdr:cNvPr id="3148" name="Picture 21" descr="C16-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4478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104775</xdr:colOff>
      <xdr:row>9</xdr:row>
      <xdr:rowOff>0</xdr:rowOff>
    </xdr:from>
    <xdr:to>
      <xdr:col>16</xdr:col>
      <xdr:colOff>828675</xdr:colOff>
      <xdr:row>11</xdr:row>
      <xdr:rowOff>133350</xdr:rowOff>
    </xdr:to>
    <xdr:pic>
      <xdr:nvPicPr>
        <xdr:cNvPr id="3149" name="Picture 22" descr="C16-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14859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47625</xdr:colOff>
      <xdr:row>17</xdr:row>
      <xdr:rowOff>57150</xdr:rowOff>
    </xdr:from>
    <xdr:to>
      <xdr:col>10</xdr:col>
      <xdr:colOff>1076325</xdr:colOff>
      <xdr:row>21</xdr:row>
      <xdr:rowOff>95250</xdr:rowOff>
    </xdr:to>
    <xdr:pic>
      <xdr:nvPicPr>
        <xdr:cNvPr id="315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914650"/>
          <a:ext cx="1028700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66675</xdr:colOff>
      <xdr:row>17</xdr:row>
      <xdr:rowOff>85725</xdr:rowOff>
    </xdr:from>
    <xdr:to>
      <xdr:col>11</xdr:col>
      <xdr:colOff>1000125</xdr:colOff>
      <xdr:row>21</xdr:row>
      <xdr:rowOff>66675</xdr:rowOff>
    </xdr:to>
    <xdr:pic>
      <xdr:nvPicPr>
        <xdr:cNvPr id="315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2943225"/>
          <a:ext cx="93345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12</xdr:col>
      <xdr:colOff>28575</xdr:colOff>
      <xdr:row>17</xdr:row>
      <xdr:rowOff>85725</xdr:rowOff>
    </xdr:from>
    <xdr:to>
      <xdr:col>12</xdr:col>
      <xdr:colOff>1000125</xdr:colOff>
      <xdr:row>21</xdr:row>
      <xdr:rowOff>66675</xdr:rowOff>
    </xdr:to>
    <xdr:pic>
      <xdr:nvPicPr>
        <xdr:cNvPr id="315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2943225"/>
          <a:ext cx="97155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5</xdr:row>
          <xdr:rowOff>0</xdr:rowOff>
        </xdr:from>
        <xdr:to>
          <xdr:col>15</xdr:col>
          <xdr:colOff>257175</xdr:colOff>
          <xdr:row>10</xdr:row>
          <xdr:rowOff>19050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protection class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12</xdr:row>
          <xdr:rowOff>0</xdr:rowOff>
        </xdr:from>
        <xdr:to>
          <xdr:col>15</xdr:col>
          <xdr:colOff>266700</xdr:colOff>
          <xdr:row>17</xdr:row>
          <xdr:rowOff>19050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Voltage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19</xdr:row>
          <xdr:rowOff>0</xdr:rowOff>
        </xdr:from>
        <xdr:to>
          <xdr:col>15</xdr:col>
          <xdr:colOff>266700</xdr:colOff>
          <xdr:row>24</xdr:row>
          <xdr:rowOff>19050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current carrying capacity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26</xdr:row>
          <xdr:rowOff>0</xdr:rowOff>
        </xdr:from>
        <xdr:to>
          <xdr:col>15</xdr:col>
          <xdr:colOff>247650</xdr:colOff>
          <xdr:row>31</xdr:row>
          <xdr:rowOff>19050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number of contacts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33</xdr:row>
          <xdr:rowOff>0</xdr:rowOff>
        </xdr:from>
        <xdr:to>
          <xdr:col>15</xdr:col>
          <xdr:colOff>238125</xdr:colOff>
          <xdr:row>38</xdr:row>
          <xdr:rowOff>19050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40</xdr:row>
          <xdr:rowOff>0</xdr:rowOff>
        </xdr:from>
        <xdr:to>
          <xdr:col>15</xdr:col>
          <xdr:colOff>276225</xdr:colOff>
          <xdr:row>45</xdr:row>
          <xdr:rowOff>19050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certifications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47</xdr:row>
          <xdr:rowOff>0</xdr:rowOff>
        </xdr:from>
        <xdr:to>
          <xdr:col>15</xdr:col>
          <xdr:colOff>228600</xdr:colOff>
          <xdr:row>52</xdr:row>
          <xdr:rowOff>19050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operating temperature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95250</xdr:rowOff>
    </xdr:from>
    <xdr:to>
      <xdr:col>1</xdr:col>
      <xdr:colOff>704850</xdr:colOff>
      <xdr:row>1</xdr:row>
      <xdr:rowOff>333375</xdr:rowOff>
    </xdr:to>
    <xdr:pic>
      <xdr:nvPicPr>
        <xdr:cNvPr id="1047" name="Picture 13" descr="industrial@amphen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924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1143000</xdr:colOff>
      <xdr:row>3</xdr:row>
      <xdr:rowOff>9525</xdr:rowOff>
    </xdr:to>
    <xdr:pic>
      <xdr:nvPicPr>
        <xdr:cNvPr id="4137" name="Picture 1" descr="industrial@amphen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924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4</xdr:row>
          <xdr:rowOff>9525</xdr:rowOff>
        </xdr:from>
        <xdr:to>
          <xdr:col>5</xdr:col>
          <xdr:colOff>1038225</xdr:colOff>
          <xdr:row>11</xdr:row>
          <xdr:rowOff>104775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requirements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476250</xdr:colOff>
      <xdr:row>3</xdr:row>
      <xdr:rowOff>142875</xdr:rowOff>
    </xdr:from>
    <xdr:to>
      <xdr:col>9</xdr:col>
      <xdr:colOff>733425</xdr:colOff>
      <xdr:row>11</xdr:row>
      <xdr:rowOff>19050</xdr:rowOff>
    </xdr:to>
    <xdr:pic>
      <xdr:nvPicPr>
        <xdr:cNvPr id="41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628650"/>
          <a:ext cx="2228850" cy="1228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5:W44"/>
  <sheetViews>
    <sheetView showFormulas="1" topLeftCell="A12" workbookViewId="0">
      <selection activeCell="H28" sqref="H28:H44"/>
    </sheetView>
  </sheetViews>
  <sheetFormatPr defaultColWidth="11.42578125" defaultRowHeight="12.75" x14ac:dyDescent="0.2"/>
  <cols>
    <col min="1" max="2" width="11.42578125" customWidth="1"/>
    <col min="3" max="7" width="2" bestFit="1" customWidth="1"/>
    <col min="8" max="8" width="6.85546875" bestFit="1" customWidth="1"/>
    <col min="9" max="12" width="2" bestFit="1" customWidth="1"/>
    <col min="13" max="23" width="3" bestFit="1" customWidth="1"/>
  </cols>
  <sheetData>
    <row r="5" spans="1:23" x14ac:dyDescent="0.2">
      <c r="E5" t="s">
        <v>24</v>
      </c>
      <c r="I5" t="s">
        <v>25</v>
      </c>
    </row>
    <row r="6" spans="1:23" x14ac:dyDescent="0.2">
      <c r="B6" t="s">
        <v>12</v>
      </c>
      <c r="C6">
        <v>1</v>
      </c>
      <c r="D6">
        <v>2</v>
      </c>
      <c r="E6">
        <v>3</v>
      </c>
      <c r="F6">
        <v>4</v>
      </c>
      <c r="G6">
        <v>5</v>
      </c>
      <c r="H6">
        <v>5</v>
      </c>
      <c r="I6">
        <v>6</v>
      </c>
      <c r="J6">
        <v>7</v>
      </c>
      <c r="K6">
        <v>8</v>
      </c>
      <c r="L6">
        <v>9</v>
      </c>
      <c r="M6">
        <v>10</v>
      </c>
      <c r="N6">
        <v>11</v>
      </c>
      <c r="O6">
        <v>12</v>
      </c>
      <c r="P6">
        <v>13</v>
      </c>
      <c r="Q6">
        <v>14</v>
      </c>
      <c r="R6">
        <v>15</v>
      </c>
      <c r="S6">
        <v>16</v>
      </c>
      <c r="T6">
        <v>17</v>
      </c>
      <c r="U6">
        <v>18</v>
      </c>
      <c r="V6">
        <v>19</v>
      </c>
      <c r="W6">
        <v>20</v>
      </c>
    </row>
    <row r="7" spans="1:23" x14ac:dyDescent="0.2">
      <c r="A7" s="49" t="s">
        <v>0</v>
      </c>
      <c r="B7" s="1" t="s">
        <v>1</v>
      </c>
    </row>
    <row r="8" spans="1:23" x14ac:dyDescent="0.2">
      <c r="A8" s="49"/>
      <c r="B8" s="1" t="s">
        <v>2</v>
      </c>
    </row>
    <row r="9" spans="1:23" x14ac:dyDescent="0.2">
      <c r="A9" s="49"/>
      <c r="B9" s="1" t="s">
        <v>3</v>
      </c>
    </row>
    <row r="10" spans="1:23" x14ac:dyDescent="0.2">
      <c r="A10" s="47" t="s">
        <v>4</v>
      </c>
      <c r="B10" s="2" t="s">
        <v>5</v>
      </c>
    </row>
    <row r="11" spans="1:23" x14ac:dyDescent="0.2">
      <c r="A11" s="47"/>
      <c r="B11" s="2" t="s">
        <v>6</v>
      </c>
    </row>
    <row r="12" spans="1:23" x14ac:dyDescent="0.2">
      <c r="A12" s="47"/>
      <c r="B12" s="2" t="s">
        <v>7</v>
      </c>
    </row>
    <row r="13" spans="1:23" x14ac:dyDescent="0.2">
      <c r="A13" s="48" t="s">
        <v>8</v>
      </c>
      <c r="B13" s="3" t="s">
        <v>9</v>
      </c>
    </row>
    <row r="14" spans="1:23" x14ac:dyDescent="0.2">
      <c r="A14" s="48"/>
      <c r="B14" s="3" t="s">
        <v>10</v>
      </c>
    </row>
    <row r="15" spans="1:23" x14ac:dyDescent="0.2">
      <c r="A15" s="48"/>
      <c r="B15" s="3" t="s">
        <v>11</v>
      </c>
    </row>
    <row r="17" spans="1:8" x14ac:dyDescent="0.2">
      <c r="H17" t="s">
        <v>52</v>
      </c>
    </row>
    <row r="18" spans="1:8" x14ac:dyDescent="0.2">
      <c r="B18" s="3" t="s">
        <v>13</v>
      </c>
      <c r="C18" t="s">
        <v>14</v>
      </c>
      <c r="D18" t="s">
        <v>15</v>
      </c>
      <c r="E18" t="s">
        <v>16</v>
      </c>
      <c r="H18" s="6"/>
    </row>
    <row r="19" spans="1:8" x14ac:dyDescent="0.2">
      <c r="A19" s="49" t="s">
        <v>0</v>
      </c>
      <c r="B19" s="1" t="s">
        <v>1</v>
      </c>
      <c r="C19" t="s">
        <v>17</v>
      </c>
    </row>
    <row r="20" spans="1:8" x14ac:dyDescent="0.2">
      <c r="A20" s="49"/>
      <c r="B20" s="1" t="s">
        <v>2</v>
      </c>
      <c r="C20" t="s">
        <v>17</v>
      </c>
    </row>
    <row r="21" spans="1:8" x14ac:dyDescent="0.2">
      <c r="A21" s="49"/>
      <c r="B21" s="1" t="s">
        <v>3</v>
      </c>
      <c r="C21" t="s">
        <v>17</v>
      </c>
      <c r="D21" t="s">
        <v>17</v>
      </c>
      <c r="E21" t="s">
        <v>17</v>
      </c>
    </row>
    <row r="22" spans="1:8" x14ac:dyDescent="0.2">
      <c r="A22" s="47" t="s">
        <v>4</v>
      </c>
      <c r="B22" s="2" t="s">
        <v>5</v>
      </c>
      <c r="C22" t="s">
        <v>17</v>
      </c>
      <c r="D22" t="s">
        <v>17</v>
      </c>
      <c r="E22" t="s">
        <v>17</v>
      </c>
    </row>
    <row r="23" spans="1:8" x14ac:dyDescent="0.2">
      <c r="A23" s="47"/>
      <c r="B23" s="2" t="s">
        <v>6</v>
      </c>
    </row>
    <row r="24" spans="1:8" x14ac:dyDescent="0.2">
      <c r="A24" s="47"/>
      <c r="B24" s="2" t="s">
        <v>7</v>
      </c>
    </row>
    <row r="25" spans="1:8" x14ac:dyDescent="0.2">
      <c r="A25" s="48" t="s">
        <v>8</v>
      </c>
      <c r="B25" s="3" t="s">
        <v>9</v>
      </c>
    </row>
    <row r="26" spans="1:8" x14ac:dyDescent="0.2">
      <c r="A26" s="48"/>
      <c r="B26" s="3" t="s">
        <v>10</v>
      </c>
    </row>
    <row r="27" spans="1:8" x14ac:dyDescent="0.2">
      <c r="A27" s="48"/>
      <c r="B27" s="3" t="s">
        <v>11</v>
      </c>
    </row>
    <row r="28" spans="1:8" x14ac:dyDescent="0.2">
      <c r="H28">
        <v>2</v>
      </c>
    </row>
    <row r="29" spans="1:8" x14ac:dyDescent="0.2">
      <c r="H29" s="4" t="s">
        <v>39</v>
      </c>
    </row>
    <row r="30" spans="1:8" x14ac:dyDescent="0.2">
      <c r="H30">
        <v>3</v>
      </c>
    </row>
    <row r="31" spans="1:8" x14ac:dyDescent="0.2">
      <c r="H31" t="s">
        <v>24</v>
      </c>
    </row>
    <row r="32" spans="1:8" x14ac:dyDescent="0.2">
      <c r="H32">
        <v>4</v>
      </c>
    </row>
    <row r="33" spans="8:8" x14ac:dyDescent="0.2">
      <c r="H33">
        <v>5</v>
      </c>
    </row>
    <row r="34" spans="8:8" x14ac:dyDescent="0.2">
      <c r="H34" t="s">
        <v>44</v>
      </c>
    </row>
    <row r="35" spans="8:8" x14ac:dyDescent="0.2">
      <c r="H35">
        <v>6</v>
      </c>
    </row>
    <row r="36" spans="8:8" x14ac:dyDescent="0.2">
      <c r="H36" t="s">
        <v>26</v>
      </c>
    </row>
    <row r="37" spans="8:8" x14ac:dyDescent="0.2">
      <c r="H37">
        <v>7</v>
      </c>
    </row>
    <row r="38" spans="8:8" x14ac:dyDescent="0.2">
      <c r="H38">
        <v>8</v>
      </c>
    </row>
    <row r="39" spans="8:8" x14ac:dyDescent="0.2">
      <c r="H39">
        <v>12</v>
      </c>
    </row>
    <row r="40" spans="8:8" x14ac:dyDescent="0.2">
      <c r="H40" t="s">
        <v>45</v>
      </c>
    </row>
    <row r="41" spans="8:8" x14ac:dyDescent="0.2">
      <c r="H41">
        <v>14</v>
      </c>
    </row>
    <row r="42" spans="8:8" x14ac:dyDescent="0.2">
      <c r="H42" t="s">
        <v>46</v>
      </c>
    </row>
    <row r="43" spans="8:8" x14ac:dyDescent="0.2">
      <c r="H43" t="s">
        <v>43</v>
      </c>
    </row>
    <row r="44" spans="8:8" x14ac:dyDescent="0.2">
      <c r="H44" t="s">
        <v>47</v>
      </c>
    </row>
  </sheetData>
  <mergeCells count="6">
    <mergeCell ref="A22:A24"/>
    <mergeCell ref="A25:A27"/>
    <mergeCell ref="A7:A9"/>
    <mergeCell ref="A10:A12"/>
    <mergeCell ref="A13:A15"/>
    <mergeCell ref="A19:A21"/>
  </mergeCells>
  <phoneticPr fontId="3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2:Q30"/>
  <sheetViews>
    <sheetView showGridLines="0" workbookViewId="0">
      <selection activeCell="C11" sqref="C11"/>
    </sheetView>
  </sheetViews>
  <sheetFormatPr defaultColWidth="11.42578125" defaultRowHeight="12.75" x14ac:dyDescent="0.2"/>
  <cols>
    <col min="1" max="1" width="11.42578125" customWidth="1"/>
    <col min="2" max="2" width="16.140625" bestFit="1" customWidth="1"/>
    <col min="3" max="5" width="11.42578125" customWidth="1"/>
    <col min="6" max="9" width="0" hidden="1" customWidth="1"/>
    <col min="10" max="10" width="11.42578125" customWidth="1"/>
    <col min="11" max="11" width="16.85546875" customWidth="1"/>
    <col min="12" max="12" width="16.42578125" customWidth="1"/>
    <col min="13" max="13" width="15.7109375" customWidth="1"/>
    <col min="14" max="14" width="3.85546875" customWidth="1"/>
    <col min="15" max="15" width="15.42578125" customWidth="1"/>
    <col min="16" max="16" width="15.140625" customWidth="1"/>
    <col min="17" max="17" width="15.7109375" customWidth="1"/>
    <col min="18" max="18" width="4.5703125" customWidth="1"/>
  </cols>
  <sheetData>
    <row r="2" spans="2:17" x14ac:dyDescent="0.2">
      <c r="C2" s="50" t="s">
        <v>66</v>
      </c>
      <c r="D2" s="50"/>
      <c r="E2" s="50"/>
      <c r="F2" s="50"/>
      <c r="G2" s="50"/>
      <c r="H2" s="50"/>
      <c r="I2" s="50"/>
      <c r="J2" s="50"/>
    </row>
    <row r="3" spans="2:17" x14ac:dyDescent="0.2">
      <c r="C3" s="50"/>
      <c r="D3" s="50"/>
      <c r="E3" s="50"/>
      <c r="F3" s="50"/>
      <c r="G3" s="50"/>
      <c r="H3" s="50"/>
      <c r="I3" s="50"/>
      <c r="J3" s="50"/>
    </row>
    <row r="7" spans="2:17" ht="13.5" thickBot="1" x14ac:dyDescent="0.25"/>
    <row r="8" spans="2:17" ht="13.5" thickBot="1" x14ac:dyDescent="0.25">
      <c r="E8" t="s">
        <v>67</v>
      </c>
      <c r="H8" s="25"/>
      <c r="K8" s="14" t="s">
        <v>1</v>
      </c>
      <c r="L8" s="14" t="s">
        <v>2</v>
      </c>
      <c r="M8" s="14" t="s">
        <v>3</v>
      </c>
      <c r="O8" s="14" t="s">
        <v>68</v>
      </c>
      <c r="P8" s="14" t="s">
        <v>6</v>
      </c>
      <c r="Q8" s="14" t="s">
        <v>7</v>
      </c>
    </row>
    <row r="9" spans="2:17" ht="13.5" thickBot="1" x14ac:dyDescent="0.25">
      <c r="B9" t="s">
        <v>50</v>
      </c>
      <c r="C9" s="20" t="s">
        <v>16</v>
      </c>
      <c r="E9" s="24">
        <v>1</v>
      </c>
      <c r="J9" s="23"/>
      <c r="K9" s="7"/>
      <c r="L9" s="7"/>
      <c r="M9" s="7"/>
      <c r="O9" s="7"/>
      <c r="P9" s="7"/>
      <c r="Q9" s="7"/>
    </row>
    <row r="10" spans="2:17" ht="13.5" thickBot="1" x14ac:dyDescent="0.25">
      <c r="E10" s="10"/>
      <c r="J10" s="22"/>
      <c r="K10" s="8"/>
      <c r="L10" s="8"/>
      <c r="M10" s="8"/>
      <c r="O10" s="8"/>
      <c r="P10" s="8"/>
      <c r="Q10" s="8"/>
    </row>
    <row r="11" spans="2:17" ht="13.5" thickBot="1" x14ac:dyDescent="0.25">
      <c r="B11" t="s">
        <v>54</v>
      </c>
      <c r="C11" s="21" t="s">
        <v>56</v>
      </c>
      <c r="E11" s="24">
        <v>1</v>
      </c>
      <c r="I11" s="22"/>
      <c r="J11" s="23"/>
      <c r="K11" s="8"/>
      <c r="L11" s="8"/>
      <c r="M11" s="8"/>
      <c r="O11" s="8"/>
      <c r="P11" s="8"/>
      <c r="Q11" s="8"/>
    </row>
    <row r="12" spans="2:17" ht="13.5" thickBot="1" x14ac:dyDescent="0.25">
      <c r="E12" s="10"/>
      <c r="K12" s="8"/>
      <c r="L12" s="8"/>
      <c r="M12" s="8"/>
      <c r="O12" s="8"/>
      <c r="P12" s="8"/>
      <c r="Q12" s="8"/>
    </row>
    <row r="13" spans="2:17" ht="13.5" thickBot="1" x14ac:dyDescent="0.25">
      <c r="B13" t="s">
        <v>61</v>
      </c>
      <c r="C13" s="21" t="s">
        <v>40</v>
      </c>
      <c r="E13" s="24">
        <v>1</v>
      </c>
      <c r="K13" s="8"/>
      <c r="L13" s="8"/>
      <c r="M13" s="8"/>
      <c r="O13" s="8"/>
      <c r="P13" s="8"/>
      <c r="Q13" s="8"/>
    </row>
    <row r="14" spans="2:17" ht="13.5" thickBot="1" x14ac:dyDescent="0.25">
      <c r="E14" s="10"/>
      <c r="K14" s="26">
        <f>('front-end details'!R55)/SUM($E$9:$E$22)</f>
        <v>0.42857142857142855</v>
      </c>
      <c r="L14" s="26">
        <f>'front-end details'!R56/SUM($E$9:$E$22)</f>
        <v>0.42857142857142855</v>
      </c>
      <c r="M14" s="26">
        <f>'front-end details'!R57/SUM(E9:E22)</f>
        <v>0.5714285714285714</v>
      </c>
      <c r="O14" s="26">
        <f>'front-end details'!T55/SUM(E9:E22)</f>
        <v>0.8571428571428571</v>
      </c>
      <c r="P14" s="26">
        <f>'front-end details'!T56/SUM(E9:E22)</f>
        <v>0.5714285714285714</v>
      </c>
      <c r="Q14" s="26">
        <f>'front-end details'!T57/SUM(E9:E22)</f>
        <v>0.14285714285714285</v>
      </c>
    </row>
    <row r="15" spans="2:17" ht="13.5" thickBot="1" x14ac:dyDescent="0.25">
      <c r="B15" t="s">
        <v>18</v>
      </c>
      <c r="C15" s="20">
        <v>7</v>
      </c>
      <c r="E15" s="24">
        <v>1</v>
      </c>
    </row>
    <row r="16" spans="2:17" ht="13.5" thickBot="1" x14ac:dyDescent="0.25">
      <c r="E16" s="10"/>
    </row>
    <row r="17" spans="2:13" ht="13.5" thickBot="1" x14ac:dyDescent="0.25">
      <c r="B17" t="s">
        <v>62</v>
      </c>
      <c r="C17" s="20" t="s">
        <v>30</v>
      </c>
      <c r="E17" s="24">
        <v>1</v>
      </c>
      <c r="G17" s="10"/>
      <c r="H17" s="10"/>
      <c r="K17" s="14" t="s">
        <v>9</v>
      </c>
      <c r="L17" s="14" t="s">
        <v>10</v>
      </c>
      <c r="M17" s="14" t="s">
        <v>11</v>
      </c>
    </row>
    <row r="18" spans="2:13" ht="13.5" thickBot="1" x14ac:dyDescent="0.25">
      <c r="E18" s="10"/>
      <c r="G18" s="10"/>
      <c r="H18" s="10"/>
      <c r="K18" s="7"/>
      <c r="L18" s="7"/>
      <c r="M18" s="7"/>
    </row>
    <row r="19" spans="2:13" ht="13.5" thickBot="1" x14ac:dyDescent="0.25">
      <c r="B19" t="s">
        <v>63</v>
      </c>
      <c r="C19" s="20" t="s">
        <v>35</v>
      </c>
      <c r="E19" s="24">
        <v>1</v>
      </c>
      <c r="G19" s="10"/>
      <c r="H19" s="10"/>
      <c r="K19" s="8"/>
      <c r="L19" s="8"/>
      <c r="M19" s="8"/>
    </row>
    <row r="20" spans="2:13" ht="13.5" thickBot="1" x14ac:dyDescent="0.25">
      <c r="E20" s="10"/>
      <c r="G20" s="10"/>
      <c r="H20" s="10"/>
      <c r="K20" s="8"/>
      <c r="L20" s="8"/>
      <c r="M20" s="8"/>
    </row>
    <row r="21" spans="2:13" ht="13.5" thickBot="1" x14ac:dyDescent="0.25">
      <c r="B21" t="s">
        <v>65</v>
      </c>
      <c r="C21" s="20" t="s">
        <v>33</v>
      </c>
      <c r="E21" s="24">
        <v>1</v>
      </c>
      <c r="G21" s="10"/>
      <c r="H21" s="10"/>
      <c r="K21" s="8"/>
      <c r="L21" s="8"/>
      <c r="M21" s="8"/>
    </row>
    <row r="22" spans="2:13" ht="13.5" thickBot="1" x14ac:dyDescent="0.25">
      <c r="E22" s="10"/>
      <c r="G22" s="10"/>
      <c r="H22" s="10"/>
      <c r="K22" s="8"/>
      <c r="L22" s="8"/>
      <c r="M22" s="8"/>
    </row>
    <row r="23" spans="2:13" ht="13.5" thickBot="1" x14ac:dyDescent="0.25">
      <c r="G23" s="10"/>
      <c r="H23" s="10"/>
      <c r="K23" s="26">
        <f>'front-end details'!P63/SUM(E9:E21)</f>
        <v>0</v>
      </c>
      <c r="L23" s="26">
        <f>'front-end details'!P64/SUM(E9:E21)</f>
        <v>0</v>
      </c>
      <c r="M23" s="26">
        <f>'front-end details'!P65/SUM(E9:E21)</f>
        <v>0</v>
      </c>
    </row>
    <row r="24" spans="2:13" x14ac:dyDescent="0.2">
      <c r="B24" s="22"/>
      <c r="C24" s="22"/>
      <c r="D24" s="23"/>
      <c r="E24" s="22"/>
      <c r="F24" s="22"/>
    </row>
    <row r="25" spans="2:13" x14ac:dyDescent="0.2">
      <c r="B25" s="22"/>
      <c r="C25" s="22"/>
      <c r="D25" s="22"/>
      <c r="E25" s="22"/>
      <c r="F25" s="22"/>
    </row>
    <row r="26" spans="2:13" x14ac:dyDescent="0.2">
      <c r="B26" s="22"/>
      <c r="C26" s="22"/>
      <c r="D26" s="22"/>
      <c r="E26" s="22"/>
      <c r="F26" s="22"/>
    </row>
    <row r="27" spans="2:13" x14ac:dyDescent="0.2">
      <c r="B27" s="22"/>
      <c r="C27" s="22"/>
      <c r="D27" s="22"/>
      <c r="E27" s="22"/>
      <c r="F27" s="22"/>
      <c r="K27" t="s">
        <v>95</v>
      </c>
    </row>
    <row r="28" spans="2:13" x14ac:dyDescent="0.2">
      <c r="B28" s="22"/>
      <c r="C28" s="22"/>
      <c r="D28" s="22"/>
      <c r="E28" s="22"/>
      <c r="F28" s="22"/>
    </row>
    <row r="29" spans="2:13" x14ac:dyDescent="0.2">
      <c r="B29" s="22"/>
      <c r="C29" s="22"/>
      <c r="D29" s="22"/>
      <c r="E29" s="22"/>
      <c r="F29" s="22"/>
    </row>
    <row r="30" spans="2:13" x14ac:dyDescent="0.2">
      <c r="B30" s="22"/>
      <c r="C30" s="22"/>
      <c r="D30" s="22"/>
      <c r="E30" s="22"/>
      <c r="F30" s="22"/>
    </row>
  </sheetData>
  <mergeCells count="1">
    <mergeCell ref="C2:J3"/>
  </mergeCells>
  <phoneticPr fontId="3" type="noConversion"/>
  <conditionalFormatting sqref="J9 J11">
    <cfRule type="cellIs" dxfId="6" priority="1" stopIfTrue="1" operator="equal">
      <formula>"no"</formula>
    </cfRule>
    <cfRule type="cellIs" dxfId="5" priority="2" stopIfTrue="1" operator="equal">
      <formula>"yes"</formula>
    </cfRule>
  </conditionalFormatting>
  <dataValidations count="8">
    <dataValidation type="list" allowBlank="1" showInputMessage="1" showErrorMessage="1" sqref="C21">
      <formula1>temperature</formula1>
    </dataValidation>
    <dataValidation type="list" allowBlank="1" showInputMessage="1" showErrorMessage="1" sqref="C19">
      <formula1>certification</formula1>
    </dataValidation>
    <dataValidation type="list" allowBlank="1" showInputMessage="1" showErrorMessage="1" sqref="C17">
      <formula1>termination</formula1>
    </dataValidation>
    <dataValidation type="list" allowBlank="1" showInputMessage="1" showErrorMessage="1" sqref="C15">
      <formula1>poles</formula1>
    </dataValidation>
    <dataValidation type="list" allowBlank="1" showInputMessage="1" showErrorMessage="1" sqref="C13">
      <formula1>current</formula1>
    </dataValidation>
    <dataValidation type="list" allowBlank="1" showInputMessage="1" showErrorMessage="1" sqref="C11">
      <formula1>voltage</formula1>
    </dataValidation>
    <dataValidation type="list" allowBlank="1" showInputMessage="1" showErrorMessage="1" sqref="C9">
      <formula1>IP</formula1>
    </dataValidation>
    <dataValidation type="list" allowBlank="1" showInputMessage="1" showErrorMessage="1" sqref="E9 E21 E19 E17 E15 E13 E11">
      <formula1>factor</formula1>
    </dataValidation>
  </dataValidations>
  <pageMargins left="0.75" right="0.75" top="1" bottom="1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B2:AC57"/>
  <sheetViews>
    <sheetView showGridLines="0" workbookViewId="0">
      <selection activeCell="E7" sqref="E7"/>
    </sheetView>
  </sheetViews>
  <sheetFormatPr defaultColWidth="11.42578125" defaultRowHeight="12.75" x14ac:dyDescent="0.2"/>
  <cols>
    <col min="1" max="1" width="19.140625" bestFit="1" customWidth="1"/>
    <col min="2" max="2" width="12.5703125" bestFit="1" customWidth="1"/>
    <col min="3" max="3" width="11.42578125" customWidth="1"/>
    <col min="4" max="4" width="6.5703125" bestFit="1" customWidth="1"/>
    <col min="5" max="5" width="11.42578125" customWidth="1"/>
    <col min="6" max="6" width="6.85546875" bestFit="1" customWidth="1"/>
    <col min="7" max="7" width="11.42578125" customWidth="1"/>
    <col min="8" max="8" width="5.85546875" bestFit="1" customWidth="1"/>
  </cols>
  <sheetData>
    <row r="2" spans="2:29" ht="30" x14ac:dyDescent="0.4">
      <c r="C2" s="51" t="s">
        <v>66</v>
      </c>
      <c r="D2" s="51"/>
      <c r="E2" s="51"/>
      <c r="F2" s="51"/>
      <c r="G2" s="51"/>
      <c r="H2" s="51"/>
      <c r="I2" s="51"/>
      <c r="J2" s="51"/>
      <c r="K2" s="19"/>
      <c r="L2" s="19"/>
      <c r="M2" s="19"/>
      <c r="N2" s="19"/>
      <c r="O2" s="19"/>
    </row>
    <row r="3" spans="2:29" ht="30.75" thickBot="1" x14ac:dyDescent="0.45">
      <c r="C3" s="52"/>
      <c r="D3" s="52"/>
      <c r="E3" s="52"/>
      <c r="F3" s="52"/>
      <c r="G3" s="52"/>
      <c r="H3" s="52"/>
      <c r="I3" s="52"/>
      <c r="J3" s="52"/>
      <c r="K3" s="19"/>
      <c r="L3" s="19"/>
      <c r="M3" s="19"/>
      <c r="N3" s="19"/>
      <c r="O3" s="19"/>
    </row>
    <row r="4" spans="2:29" ht="13.5" thickTop="1" x14ac:dyDescent="0.2"/>
    <row r="7" spans="2:29" ht="13.5" thickBot="1" x14ac:dyDescent="0.25">
      <c r="B7" t="s">
        <v>50</v>
      </c>
      <c r="D7" s="9" t="s">
        <v>1</v>
      </c>
      <c r="E7" s="18" t="str">
        <f>Tabelle1!X14</f>
        <v>no</v>
      </c>
      <c r="F7" s="9" t="s">
        <v>5</v>
      </c>
      <c r="G7" s="18" t="str">
        <f>Tabelle1!X17</f>
        <v>yes</v>
      </c>
      <c r="H7" s="9" t="s">
        <v>9</v>
      </c>
      <c r="I7" s="18" t="str">
        <f>Tabelle1!X20</f>
        <v>no</v>
      </c>
      <c r="J7" s="27" t="s">
        <v>69</v>
      </c>
      <c r="K7" s="17" t="str">
        <f>Tabelle2!G62</f>
        <v>yes</v>
      </c>
      <c r="L7" s="27" t="s">
        <v>71</v>
      </c>
      <c r="M7" s="17" t="str">
        <f>Tabelle2!G65</f>
        <v>yes</v>
      </c>
      <c r="N7" s="27" t="s">
        <v>74</v>
      </c>
      <c r="O7" s="17" t="str">
        <f>Tabelle2!G68</f>
        <v>yes</v>
      </c>
      <c r="Q7" s="9" t="s">
        <v>1</v>
      </c>
      <c r="R7" s="18">
        <f>IF(E7="yes",1,0)</f>
        <v>0</v>
      </c>
      <c r="S7" s="9" t="s">
        <v>5</v>
      </c>
      <c r="T7" s="18">
        <f>IF(G7="yes",1,0)</f>
        <v>1</v>
      </c>
      <c r="U7" s="9" t="s">
        <v>9</v>
      </c>
      <c r="V7" s="18">
        <f>IF(I7="yes",1,0)</f>
        <v>0</v>
      </c>
      <c r="X7" s="27" t="s">
        <v>69</v>
      </c>
      <c r="Y7" s="17">
        <f>IF(K7="yes",1,0)</f>
        <v>1</v>
      </c>
      <c r="Z7" s="27" t="s">
        <v>71</v>
      </c>
      <c r="AA7" s="17">
        <f>IF(M7="yes",1,0)</f>
        <v>1</v>
      </c>
      <c r="AB7" s="27" t="s">
        <v>74</v>
      </c>
      <c r="AC7" s="17">
        <f>IF(O7="yes",1,0)</f>
        <v>1</v>
      </c>
    </row>
    <row r="8" spans="2:29" ht="13.5" thickBot="1" x14ac:dyDescent="0.25">
      <c r="B8" s="5" t="str">
        <f>'front end'!C9</f>
        <v>IP67</v>
      </c>
      <c r="D8" s="9" t="s">
        <v>2</v>
      </c>
      <c r="E8" s="18" t="str">
        <f>Tabelle1!X15</f>
        <v>no</v>
      </c>
      <c r="F8" s="9" t="s">
        <v>6</v>
      </c>
      <c r="G8" s="18" t="str">
        <f>Tabelle1!X18</f>
        <v>no</v>
      </c>
      <c r="H8" s="9" t="s">
        <v>10</v>
      </c>
      <c r="I8" s="18" t="str">
        <f>Tabelle1!X21</f>
        <v>no</v>
      </c>
      <c r="J8" s="27" t="s">
        <v>70</v>
      </c>
      <c r="K8" s="17" t="str">
        <f>Tabelle2!G63</f>
        <v>yes</v>
      </c>
      <c r="L8" s="27" t="s">
        <v>72</v>
      </c>
      <c r="M8" s="17" t="str">
        <f>Tabelle2!G66</f>
        <v>yes</v>
      </c>
      <c r="N8" s="27" t="s">
        <v>75</v>
      </c>
      <c r="O8" s="17" t="str">
        <f>Tabelle2!G69</f>
        <v>yes</v>
      </c>
      <c r="Q8" s="9" t="s">
        <v>2</v>
      </c>
      <c r="R8" s="18">
        <f>IF(E8="yes",1,0)</f>
        <v>0</v>
      </c>
      <c r="S8" s="9" t="s">
        <v>6</v>
      </c>
      <c r="T8" s="18">
        <f>IF(G8="yes",1,0)</f>
        <v>0</v>
      </c>
      <c r="U8" s="9" t="s">
        <v>10</v>
      </c>
      <c r="V8" s="18">
        <f>IF(I8="yes",1,0)</f>
        <v>0</v>
      </c>
      <c r="X8" s="27" t="s">
        <v>70</v>
      </c>
      <c r="Y8" s="17">
        <f>IF(K8="yes",1,0)</f>
        <v>1</v>
      </c>
      <c r="Z8" s="27" t="s">
        <v>72</v>
      </c>
      <c r="AA8" s="17">
        <f>IF(M8="yes",1,0)</f>
        <v>1</v>
      </c>
      <c r="AB8" s="27" t="s">
        <v>75</v>
      </c>
      <c r="AC8" s="17">
        <f>IF(O8="yes",1,0)</f>
        <v>1</v>
      </c>
    </row>
    <row r="9" spans="2:29" x14ac:dyDescent="0.2">
      <c r="D9" s="9" t="s">
        <v>3</v>
      </c>
      <c r="E9" s="18" t="str">
        <f>Tabelle1!X16</f>
        <v>yes</v>
      </c>
      <c r="F9" s="9" t="s">
        <v>7</v>
      </c>
      <c r="G9" s="18" t="str">
        <f>Tabelle1!X19</f>
        <v>no</v>
      </c>
      <c r="H9" s="9" t="s">
        <v>11</v>
      </c>
      <c r="I9" s="18" t="str">
        <f>Tabelle1!X22</f>
        <v>no</v>
      </c>
      <c r="J9" s="27" t="s">
        <v>86</v>
      </c>
      <c r="K9" s="17" t="str">
        <f>Tabelle2!G64</f>
        <v>yes</v>
      </c>
      <c r="L9" s="27" t="s">
        <v>73</v>
      </c>
      <c r="M9" s="17" t="str">
        <f>Tabelle2!G67</f>
        <v>yes</v>
      </c>
      <c r="N9" s="27" t="s">
        <v>76</v>
      </c>
      <c r="O9" s="17" t="str">
        <f>Tabelle2!G70</f>
        <v>yes</v>
      </c>
      <c r="Q9" s="9" t="s">
        <v>3</v>
      </c>
      <c r="R9" s="18">
        <f>IF(E9="yes",1,0)</f>
        <v>1</v>
      </c>
      <c r="S9" s="9" t="s">
        <v>7</v>
      </c>
      <c r="T9" s="18">
        <f>IF(G9="yes",1,0)</f>
        <v>0</v>
      </c>
      <c r="U9" s="9" t="s">
        <v>11</v>
      </c>
      <c r="V9" s="18">
        <f>IF(I9="yes",1,0)</f>
        <v>0</v>
      </c>
      <c r="X9" s="27" t="s">
        <v>86</v>
      </c>
      <c r="Y9" s="17">
        <f>IF(K9="yes",1,0)</f>
        <v>1</v>
      </c>
      <c r="Z9" s="27" t="s">
        <v>73</v>
      </c>
      <c r="AA9" s="17">
        <f>IF(M9="yes",1,0)</f>
        <v>1</v>
      </c>
      <c r="AB9" s="27" t="s">
        <v>76</v>
      </c>
      <c r="AC9" s="17">
        <f>IF(O9="yes",1,0)</f>
        <v>1</v>
      </c>
    </row>
    <row r="14" spans="2:29" ht="13.5" thickBot="1" x14ac:dyDescent="0.25">
      <c r="B14" t="s">
        <v>54</v>
      </c>
      <c r="D14" s="9" t="s">
        <v>1</v>
      </c>
      <c r="E14" s="18" t="str">
        <f>data!L32</f>
        <v>yes</v>
      </c>
      <c r="F14" s="9" t="s">
        <v>5</v>
      </c>
      <c r="G14" s="18" t="str">
        <f>data!L35</f>
        <v>yes</v>
      </c>
      <c r="H14" s="9" t="s">
        <v>9</v>
      </c>
      <c r="I14" s="17" t="str">
        <f>data!L38</f>
        <v>no</v>
      </c>
      <c r="J14" s="27" t="s">
        <v>69</v>
      </c>
      <c r="K14" s="17" t="str">
        <f>Tabelle2!J4</f>
        <v>yes</v>
      </c>
      <c r="L14" s="27" t="s">
        <v>71</v>
      </c>
      <c r="M14" s="17" t="str">
        <f>Tabelle2!J7</f>
        <v>yes</v>
      </c>
      <c r="N14" s="27" t="s">
        <v>74</v>
      </c>
      <c r="O14" s="17" t="str">
        <f>Tabelle2!J10</f>
        <v>yes</v>
      </c>
      <c r="Q14" s="9" t="s">
        <v>1</v>
      </c>
      <c r="R14" s="18">
        <f>IF(E14="yes",1,0)</f>
        <v>1</v>
      </c>
      <c r="S14" s="9" t="s">
        <v>5</v>
      </c>
      <c r="T14" s="18">
        <f>IF(G14="yes",1,0)</f>
        <v>1</v>
      </c>
      <c r="U14" s="9" t="s">
        <v>9</v>
      </c>
      <c r="V14" s="18">
        <f>IF(I14="yes",1,0)</f>
        <v>0</v>
      </c>
      <c r="X14" s="27" t="s">
        <v>69</v>
      </c>
      <c r="Y14" s="17">
        <f>IF(K14="yes",1,0)</f>
        <v>1</v>
      </c>
      <c r="Z14" s="27" t="s">
        <v>71</v>
      </c>
      <c r="AA14" s="17">
        <f>IF(M14="yes",1,0)</f>
        <v>1</v>
      </c>
      <c r="AB14" s="27" t="s">
        <v>74</v>
      </c>
      <c r="AC14" s="17">
        <f>IF(O14="yes",1,0)</f>
        <v>1</v>
      </c>
    </row>
    <row r="15" spans="2:29" ht="13.5" thickBot="1" x14ac:dyDescent="0.25">
      <c r="B15" s="5" t="s">
        <v>59</v>
      </c>
      <c r="D15" s="9" t="s">
        <v>2</v>
      </c>
      <c r="E15" s="18" t="str">
        <f>data!L33</f>
        <v>yes</v>
      </c>
      <c r="F15" s="9" t="s">
        <v>6</v>
      </c>
      <c r="G15" s="18" t="str">
        <f>data!L36</f>
        <v>yes</v>
      </c>
      <c r="H15" s="9" t="s">
        <v>10</v>
      </c>
      <c r="I15" s="17" t="str">
        <f>data!L39</f>
        <v>no</v>
      </c>
      <c r="J15" s="27" t="s">
        <v>70</v>
      </c>
      <c r="K15" s="17" t="str">
        <f>Tabelle2!J5</f>
        <v>yes</v>
      </c>
      <c r="L15" s="27" t="s">
        <v>72</v>
      </c>
      <c r="M15" s="17" t="str">
        <f>Tabelle2!J8</f>
        <v>yes</v>
      </c>
      <c r="N15" s="27" t="s">
        <v>75</v>
      </c>
      <c r="O15" s="17" t="str">
        <f>Tabelle2!J11</f>
        <v>yes</v>
      </c>
      <c r="Q15" s="9" t="s">
        <v>2</v>
      </c>
      <c r="R15" s="18">
        <f>IF(E15="yes",1,0)</f>
        <v>1</v>
      </c>
      <c r="S15" s="9" t="s">
        <v>6</v>
      </c>
      <c r="T15" s="18">
        <f>IF(G15="yes",1,0)</f>
        <v>1</v>
      </c>
      <c r="U15" s="9" t="s">
        <v>10</v>
      </c>
      <c r="V15" s="18">
        <f>IF(I15="yes",1,0)</f>
        <v>0</v>
      </c>
      <c r="X15" s="27" t="s">
        <v>70</v>
      </c>
      <c r="Y15" s="17">
        <f>IF(K15="yes",1,0)</f>
        <v>1</v>
      </c>
      <c r="Z15" s="27" t="s">
        <v>72</v>
      </c>
      <c r="AA15" s="17">
        <f>IF(M15="yes",1,0)</f>
        <v>1</v>
      </c>
      <c r="AB15" s="27" t="s">
        <v>75</v>
      </c>
      <c r="AC15" s="17">
        <f>IF(O15="yes",1,0)</f>
        <v>1</v>
      </c>
    </row>
    <row r="16" spans="2:29" x14ac:dyDescent="0.2">
      <c r="D16" s="9" t="s">
        <v>3</v>
      </c>
      <c r="E16" s="18" t="str">
        <f>data!L34</f>
        <v>yes</v>
      </c>
      <c r="F16" s="9" t="s">
        <v>7</v>
      </c>
      <c r="G16" s="18" t="str">
        <f>data!L37</f>
        <v>no</v>
      </c>
      <c r="H16" s="9" t="s">
        <v>11</v>
      </c>
      <c r="I16" s="17" t="str">
        <f>data!L40</f>
        <v>no</v>
      </c>
      <c r="J16" s="27" t="s">
        <v>86</v>
      </c>
      <c r="K16" s="17" t="str">
        <f>Tabelle2!J6</f>
        <v>yes</v>
      </c>
      <c r="L16" s="27" t="s">
        <v>73</v>
      </c>
      <c r="M16" s="17" t="str">
        <f>Tabelle2!J9</f>
        <v>yes</v>
      </c>
      <c r="N16" s="27" t="s">
        <v>76</v>
      </c>
      <c r="O16" s="17" t="str">
        <f>Tabelle2!J12</f>
        <v>yes</v>
      </c>
      <c r="Q16" s="9" t="s">
        <v>3</v>
      </c>
      <c r="R16" s="18">
        <f>IF(E16="yes",1,0)</f>
        <v>1</v>
      </c>
      <c r="S16" s="9" t="s">
        <v>7</v>
      </c>
      <c r="T16" s="18">
        <f>IF(G16="yes",1,0)</f>
        <v>0</v>
      </c>
      <c r="U16" s="9" t="s">
        <v>11</v>
      </c>
      <c r="V16" s="18">
        <f>IF(I16="yes",1,0)</f>
        <v>0</v>
      </c>
      <c r="X16" s="27" t="s">
        <v>86</v>
      </c>
      <c r="Y16" s="17">
        <f>IF(K16="yes",1,0)</f>
        <v>1</v>
      </c>
      <c r="Z16" s="27" t="s">
        <v>73</v>
      </c>
      <c r="AA16" s="17">
        <f>IF(M16="yes",1,0)</f>
        <v>1</v>
      </c>
      <c r="AB16" s="27" t="s">
        <v>76</v>
      </c>
      <c r="AC16" s="17">
        <f>IF(O16="yes",1,0)</f>
        <v>1</v>
      </c>
    </row>
    <row r="21" spans="2:29" ht="13.5" thickBot="1" x14ac:dyDescent="0.25">
      <c r="B21" t="s">
        <v>61</v>
      </c>
      <c r="D21" s="9" t="s">
        <v>1</v>
      </c>
      <c r="E21" s="18" t="str">
        <f>data!I56</f>
        <v>no</v>
      </c>
      <c r="F21" s="9" t="s">
        <v>5</v>
      </c>
      <c r="G21" s="9" t="str">
        <f>data!I59</f>
        <v>yes</v>
      </c>
      <c r="H21" s="9" t="s">
        <v>9</v>
      </c>
      <c r="I21" s="17" t="str">
        <f>data!I62</f>
        <v>no</v>
      </c>
      <c r="J21" s="27" t="s">
        <v>69</v>
      </c>
      <c r="K21" s="17" t="str">
        <f>Tabelle2!K16</f>
        <v>yes</v>
      </c>
      <c r="L21" s="27" t="s">
        <v>71</v>
      </c>
      <c r="M21" s="17" t="str">
        <f>Tabelle2!K19</f>
        <v>yes</v>
      </c>
      <c r="N21" s="27" t="s">
        <v>74</v>
      </c>
      <c r="O21" s="17" t="str">
        <f>Tabelle2!K22</f>
        <v>yes</v>
      </c>
      <c r="Q21" s="9" t="s">
        <v>1</v>
      </c>
      <c r="R21" s="18">
        <f>IF(E21="yes",1,0)*'front end'!$E$9</f>
        <v>0</v>
      </c>
      <c r="S21" s="9" t="s">
        <v>5</v>
      </c>
      <c r="T21" s="18">
        <f>IF(G21="yes",1,0)*'front end'!$E$9</f>
        <v>1</v>
      </c>
      <c r="U21" s="9" t="s">
        <v>9</v>
      </c>
      <c r="V21" s="18">
        <f>IF(I21="yes",1,0)*'front end'!$E$9</f>
        <v>0</v>
      </c>
      <c r="X21" s="27" t="s">
        <v>69</v>
      </c>
      <c r="Y21" s="17">
        <f>IF(K21="yes",1,0)</f>
        <v>1</v>
      </c>
      <c r="Z21" s="27" t="s">
        <v>71</v>
      </c>
      <c r="AA21" s="17">
        <f>IF(M21="yes",1,0)</f>
        <v>1</v>
      </c>
      <c r="AB21" s="27" t="s">
        <v>74</v>
      </c>
      <c r="AC21" s="17">
        <f>IF(O21="yes",1,0)</f>
        <v>1</v>
      </c>
    </row>
    <row r="22" spans="2:29" ht="13.5" thickBot="1" x14ac:dyDescent="0.25">
      <c r="B22" s="5" t="s">
        <v>28</v>
      </c>
      <c r="D22" s="9" t="s">
        <v>2</v>
      </c>
      <c r="E22" s="18" t="str">
        <f>data!I57</f>
        <v>no</v>
      </c>
      <c r="F22" s="9" t="s">
        <v>6</v>
      </c>
      <c r="G22" s="9" t="str">
        <f>data!I60</f>
        <v>yes</v>
      </c>
      <c r="H22" s="9" t="s">
        <v>10</v>
      </c>
      <c r="I22" s="17" t="str">
        <f>data!I63</f>
        <v>no</v>
      </c>
      <c r="J22" s="27" t="s">
        <v>70</v>
      </c>
      <c r="K22" s="17" t="str">
        <f>Tabelle2!K17</f>
        <v>no</v>
      </c>
      <c r="L22" s="27" t="s">
        <v>72</v>
      </c>
      <c r="M22" s="17" t="str">
        <f>Tabelle2!K20</f>
        <v>yes</v>
      </c>
      <c r="N22" s="27" t="s">
        <v>75</v>
      </c>
      <c r="O22" s="17" t="str">
        <f>Tabelle2!K23</f>
        <v>yes</v>
      </c>
      <c r="Q22" s="9" t="s">
        <v>2</v>
      </c>
      <c r="R22" s="18">
        <f>IF(E22="yes",1,0)*'front end'!$E$9</f>
        <v>0</v>
      </c>
      <c r="S22" s="9" t="s">
        <v>6</v>
      </c>
      <c r="T22" s="18">
        <f>IF(G22="yes",1,0)*'front end'!$E$9</f>
        <v>1</v>
      </c>
      <c r="U22" s="9" t="s">
        <v>10</v>
      </c>
      <c r="V22" s="18">
        <f>IF(I22="yes",1,0)*'front end'!$E$9</f>
        <v>0</v>
      </c>
      <c r="X22" s="27" t="s">
        <v>70</v>
      </c>
      <c r="Y22" s="17">
        <f>IF(K22="yes",1,0)</f>
        <v>0</v>
      </c>
      <c r="Z22" s="27" t="s">
        <v>72</v>
      </c>
      <c r="AA22" s="17">
        <f>IF(M22="yes",1,0)</f>
        <v>1</v>
      </c>
      <c r="AB22" s="27" t="s">
        <v>75</v>
      </c>
      <c r="AC22" s="17">
        <f>IF(O22="yes",1,0)</f>
        <v>1</v>
      </c>
    </row>
    <row r="23" spans="2:29" x14ac:dyDescent="0.2">
      <c r="D23" s="9" t="s">
        <v>3</v>
      </c>
      <c r="E23" s="18" t="str">
        <f>data!I58</f>
        <v>no</v>
      </c>
      <c r="F23" s="9" t="s">
        <v>7</v>
      </c>
      <c r="G23" s="9" t="str">
        <f>data!I61</f>
        <v>no</v>
      </c>
      <c r="H23" s="9" t="s">
        <v>11</v>
      </c>
      <c r="I23" s="17" t="str">
        <f>data!I64</f>
        <v>no</v>
      </c>
      <c r="J23" s="27" t="s">
        <v>86</v>
      </c>
      <c r="K23" s="17" t="str">
        <f>Tabelle2!K18</f>
        <v>yes</v>
      </c>
      <c r="L23" s="27" t="s">
        <v>73</v>
      </c>
      <c r="M23" s="17" t="str">
        <f>Tabelle2!K21</f>
        <v>yes</v>
      </c>
      <c r="N23" s="27" t="s">
        <v>76</v>
      </c>
      <c r="O23" s="17" t="str">
        <f>Tabelle2!K24</f>
        <v>yes</v>
      </c>
      <c r="Q23" s="9" t="s">
        <v>3</v>
      </c>
      <c r="R23" s="18">
        <f>IF(E23="yes",1,0)*'front end'!$E$9</f>
        <v>0</v>
      </c>
      <c r="S23" s="9" t="s">
        <v>7</v>
      </c>
      <c r="T23" s="18">
        <f>IF(G23="yes",1,0)*'front end'!$E$9</f>
        <v>0</v>
      </c>
      <c r="U23" s="9" t="s">
        <v>11</v>
      </c>
      <c r="V23" s="18">
        <f>IF(I23="yes",1,0)*'front end'!$E$9</f>
        <v>0</v>
      </c>
      <c r="X23" s="27" t="s">
        <v>86</v>
      </c>
      <c r="Y23" s="17">
        <f>IF(K23="yes",1,0)</f>
        <v>1</v>
      </c>
      <c r="Z23" s="27" t="s">
        <v>73</v>
      </c>
      <c r="AA23" s="17">
        <f>IF(M23="yes",1,0)</f>
        <v>1</v>
      </c>
      <c r="AB23" s="27" t="s">
        <v>76</v>
      </c>
      <c r="AC23" s="17">
        <f>IF(O23="yes",1,0)</f>
        <v>1</v>
      </c>
    </row>
    <row r="28" spans="2:29" ht="13.5" thickBot="1" x14ac:dyDescent="0.25">
      <c r="B28" t="s">
        <v>18</v>
      </c>
      <c r="D28" s="9" t="s">
        <v>1</v>
      </c>
      <c r="E28" s="18" t="str">
        <f>data!V7</f>
        <v>yes</v>
      </c>
      <c r="F28" s="9" t="s">
        <v>5</v>
      </c>
      <c r="G28" s="18" t="str">
        <f>data!V10</f>
        <v>no</v>
      </c>
      <c r="H28" s="9" t="s">
        <v>9</v>
      </c>
      <c r="I28" s="17" t="str">
        <f>data!V13</f>
        <v>no</v>
      </c>
      <c r="J28" s="27" t="s">
        <v>69</v>
      </c>
      <c r="K28" s="17"/>
      <c r="L28" s="27" t="s">
        <v>71</v>
      </c>
      <c r="M28" s="17"/>
      <c r="N28" s="27" t="s">
        <v>74</v>
      </c>
      <c r="O28" s="17"/>
      <c r="Q28" s="9" t="s">
        <v>1</v>
      </c>
      <c r="R28" s="18">
        <f>IF(E28="yes",1,0)*'front end'!$E$11</f>
        <v>1</v>
      </c>
      <c r="S28" s="9" t="s">
        <v>5</v>
      </c>
      <c r="T28" s="18">
        <f>IF(G28="yes",1,0)*'front end'!$E$11</f>
        <v>0</v>
      </c>
      <c r="U28" s="9" t="s">
        <v>9</v>
      </c>
      <c r="V28" s="18">
        <f>IF(I28="yes",1,0)*'front end'!$E$11</f>
        <v>0</v>
      </c>
      <c r="X28" s="27" t="s">
        <v>69</v>
      </c>
      <c r="Y28" s="17">
        <f>IF(K28="yes",1,0)</f>
        <v>0</v>
      </c>
      <c r="Z28" s="27" t="s">
        <v>71</v>
      </c>
      <c r="AA28" s="17">
        <f>IF(M28="yes",1,0)</f>
        <v>0</v>
      </c>
      <c r="AB28" s="27" t="s">
        <v>74</v>
      </c>
      <c r="AC28" s="17">
        <f>IF(O28="yes",1,0)</f>
        <v>0</v>
      </c>
    </row>
    <row r="29" spans="2:29" ht="13.5" thickBot="1" x14ac:dyDescent="0.25">
      <c r="B29" s="15">
        <f>'front end'!C15</f>
        <v>7</v>
      </c>
      <c r="D29" s="9" t="s">
        <v>2</v>
      </c>
      <c r="E29" s="18" t="str">
        <f>data!V8</f>
        <v>yes</v>
      </c>
      <c r="F29" s="9" t="s">
        <v>6</v>
      </c>
      <c r="G29" s="18" t="str">
        <f>data!V11</f>
        <v>no</v>
      </c>
      <c r="H29" s="9" t="s">
        <v>10</v>
      </c>
      <c r="I29" s="17" t="str">
        <f>data!V14</f>
        <v>no</v>
      </c>
      <c r="J29" s="27" t="s">
        <v>70</v>
      </c>
      <c r="K29" s="17"/>
      <c r="L29" s="27" t="s">
        <v>72</v>
      </c>
      <c r="M29" s="17"/>
      <c r="N29" s="27" t="s">
        <v>75</v>
      </c>
      <c r="O29" s="17"/>
      <c r="Q29" s="9" t="s">
        <v>2</v>
      </c>
      <c r="R29" s="18">
        <f>IF(E29="yes",1,0)*'front end'!$E$11</f>
        <v>1</v>
      </c>
      <c r="S29" s="9" t="s">
        <v>6</v>
      </c>
      <c r="T29" s="18">
        <f>IF(G29="yes",1,0)*'front end'!$E$11</f>
        <v>0</v>
      </c>
      <c r="U29" s="9" t="s">
        <v>10</v>
      </c>
      <c r="V29" s="18">
        <f>IF(I29="yes",1,0)*'front end'!$E$11</f>
        <v>0</v>
      </c>
      <c r="X29" s="27" t="s">
        <v>70</v>
      </c>
      <c r="Y29" s="17">
        <f>IF(K29="yes",1,0)</f>
        <v>0</v>
      </c>
      <c r="Z29" s="27" t="s">
        <v>72</v>
      </c>
      <c r="AA29" s="17">
        <f>IF(M29="yes",1,0)</f>
        <v>0</v>
      </c>
      <c r="AB29" s="27" t="s">
        <v>75</v>
      </c>
      <c r="AC29" s="17">
        <f>IF(O29="yes",1,0)</f>
        <v>0</v>
      </c>
    </row>
    <row r="30" spans="2:29" x14ac:dyDescent="0.2">
      <c r="D30" s="9" t="s">
        <v>3</v>
      </c>
      <c r="E30" s="18" t="str">
        <f>data!V9</f>
        <v>yes</v>
      </c>
      <c r="F30" s="9" t="s">
        <v>7</v>
      </c>
      <c r="G30" s="18" t="str">
        <f>data!V12</f>
        <v>no</v>
      </c>
      <c r="H30" s="9" t="s">
        <v>11</v>
      </c>
      <c r="I30" s="17" t="str">
        <f>data!V15</f>
        <v>no</v>
      </c>
      <c r="J30" s="27" t="s">
        <v>86</v>
      </c>
      <c r="K30" s="17"/>
      <c r="L30" s="27" t="s">
        <v>73</v>
      </c>
      <c r="M30" s="17"/>
      <c r="N30" s="27" t="s">
        <v>76</v>
      </c>
      <c r="O30" s="17"/>
      <c r="Q30" s="9" t="s">
        <v>3</v>
      </c>
      <c r="R30" s="18">
        <f>IF(E30="yes",1,0)*'front end'!$E$11</f>
        <v>1</v>
      </c>
      <c r="S30" s="9" t="s">
        <v>7</v>
      </c>
      <c r="T30" s="18">
        <f>IF(G30="yes",1,0)*'front end'!$E$11</f>
        <v>0</v>
      </c>
      <c r="U30" s="9" t="s">
        <v>11</v>
      </c>
      <c r="V30" s="18">
        <f>IF(I30="yes",1,0)*'front end'!$E$11</f>
        <v>0</v>
      </c>
      <c r="X30" s="27" t="s">
        <v>86</v>
      </c>
      <c r="Y30" s="17">
        <f>IF(K30="yes",1,0)</f>
        <v>0</v>
      </c>
      <c r="Z30" s="27" t="s">
        <v>73</v>
      </c>
      <c r="AA30" s="17">
        <f>IF(M30="yes",1,0)</f>
        <v>0</v>
      </c>
      <c r="AB30" s="27" t="s">
        <v>76</v>
      </c>
      <c r="AC30" s="17">
        <f>IF(O30="yes",1,0)</f>
        <v>0</v>
      </c>
    </row>
    <row r="35" spans="2:29" ht="13.5" thickBot="1" x14ac:dyDescent="0.25">
      <c r="B35" t="s">
        <v>62</v>
      </c>
      <c r="D35" s="9" t="s">
        <v>1</v>
      </c>
      <c r="E35" s="18" t="str">
        <f>data!I68</f>
        <v>yes</v>
      </c>
      <c r="F35" s="9" t="s">
        <v>5</v>
      </c>
      <c r="G35" s="18" t="str">
        <f>data!I71</f>
        <v>yes</v>
      </c>
      <c r="H35" s="9" t="s">
        <v>9</v>
      </c>
      <c r="I35" s="17" t="str">
        <f>data!I74</f>
        <v>no</v>
      </c>
      <c r="J35" s="27" t="s">
        <v>69</v>
      </c>
      <c r="K35" s="17"/>
      <c r="L35" s="27" t="s">
        <v>71</v>
      </c>
      <c r="M35" s="17"/>
      <c r="N35" s="27" t="s">
        <v>74</v>
      </c>
      <c r="O35" s="17"/>
      <c r="Q35" s="9" t="s">
        <v>1</v>
      </c>
      <c r="R35" s="18">
        <f>IF(E35="yes",1,0)*'front end'!$E$13</f>
        <v>1</v>
      </c>
      <c r="S35" s="9" t="s">
        <v>5</v>
      </c>
      <c r="T35" s="18">
        <f>IF(G35="yes",1,0)*'front end'!$E$13</f>
        <v>1</v>
      </c>
      <c r="U35" s="9" t="s">
        <v>9</v>
      </c>
      <c r="V35" s="18">
        <f>IF(I35="yes",1,0)*'front end'!$E$13</f>
        <v>0</v>
      </c>
      <c r="X35" s="27" t="s">
        <v>69</v>
      </c>
      <c r="Y35" s="17">
        <f>IF(K35="yes",1,0)</f>
        <v>0</v>
      </c>
      <c r="Z35" s="27" t="s">
        <v>71</v>
      </c>
      <c r="AA35" s="17">
        <f>IF(M35="yes",1,0)</f>
        <v>0</v>
      </c>
      <c r="AB35" s="27" t="s">
        <v>74</v>
      </c>
      <c r="AC35" s="17">
        <f>IF(O35="yes",1,0)</f>
        <v>0</v>
      </c>
    </row>
    <row r="36" spans="2:29" ht="13.5" thickBot="1" x14ac:dyDescent="0.25">
      <c r="B36" s="15" t="str">
        <f>'front end'!C17</f>
        <v>soldering</v>
      </c>
      <c r="D36" s="9" t="s">
        <v>2</v>
      </c>
      <c r="E36" s="18" t="str">
        <f>data!I69</f>
        <v>yes</v>
      </c>
      <c r="F36" s="9" t="s">
        <v>6</v>
      </c>
      <c r="G36" s="18" t="str">
        <f>data!I72</f>
        <v>no</v>
      </c>
      <c r="H36" s="9" t="s">
        <v>10</v>
      </c>
      <c r="I36" s="17" t="str">
        <f>data!I75</f>
        <v>no</v>
      </c>
      <c r="J36" s="27" t="s">
        <v>70</v>
      </c>
      <c r="K36" s="17"/>
      <c r="L36" s="27" t="s">
        <v>72</v>
      </c>
      <c r="M36" s="17"/>
      <c r="N36" s="27" t="s">
        <v>75</v>
      </c>
      <c r="O36" s="17"/>
      <c r="Q36" s="9" t="s">
        <v>2</v>
      </c>
      <c r="R36" s="18">
        <f>IF(E36="yes",1,0)*'front end'!$E$13</f>
        <v>1</v>
      </c>
      <c r="S36" s="9" t="s">
        <v>6</v>
      </c>
      <c r="T36" s="18">
        <f>IF(G36="yes",1,0)*'front end'!$E$13</f>
        <v>0</v>
      </c>
      <c r="U36" s="9" t="s">
        <v>10</v>
      </c>
      <c r="V36" s="18">
        <f>IF(I36="yes",1,0)*'front end'!$E$13</f>
        <v>0</v>
      </c>
      <c r="X36" s="27" t="s">
        <v>70</v>
      </c>
      <c r="Y36" s="17">
        <f>IF(K36="yes",1,0)</f>
        <v>0</v>
      </c>
      <c r="Z36" s="27" t="s">
        <v>72</v>
      </c>
      <c r="AA36" s="17">
        <f>IF(M36="yes",1,0)</f>
        <v>0</v>
      </c>
      <c r="AB36" s="27" t="s">
        <v>75</v>
      </c>
      <c r="AC36" s="17">
        <f>IF(O36="yes",1,0)</f>
        <v>0</v>
      </c>
    </row>
    <row r="37" spans="2:29" x14ac:dyDescent="0.2">
      <c r="D37" s="9" t="s">
        <v>3</v>
      </c>
      <c r="E37" s="18" t="str">
        <f>data!I70</f>
        <v>yes</v>
      </c>
      <c r="F37" s="9" t="s">
        <v>7</v>
      </c>
      <c r="G37" s="18" t="str">
        <f>data!I73</f>
        <v>no</v>
      </c>
      <c r="H37" s="9" t="s">
        <v>11</v>
      </c>
      <c r="I37" s="17" t="str">
        <f>data!I76</f>
        <v>no</v>
      </c>
      <c r="J37" s="27" t="s">
        <v>86</v>
      </c>
      <c r="K37" s="17"/>
      <c r="L37" s="27" t="s">
        <v>73</v>
      </c>
      <c r="M37" s="17"/>
      <c r="N37" s="27" t="s">
        <v>76</v>
      </c>
      <c r="O37" s="17"/>
      <c r="Q37" s="9" t="s">
        <v>3</v>
      </c>
      <c r="R37" s="18">
        <f>IF(E37="yes",1,0)*'front end'!$E$13</f>
        <v>1</v>
      </c>
      <c r="S37" s="9" t="s">
        <v>7</v>
      </c>
      <c r="T37" s="18">
        <f>IF(G37="yes",1,0)*'front end'!$E$13</f>
        <v>0</v>
      </c>
      <c r="U37" s="9" t="s">
        <v>11</v>
      </c>
      <c r="V37" s="18">
        <f>IF(I37="yes",1,0)*'front end'!$E$13</f>
        <v>0</v>
      </c>
      <c r="X37" s="27" t="s">
        <v>86</v>
      </c>
      <c r="Y37" s="17">
        <f>IF(K37="yes",1,0)</f>
        <v>0</v>
      </c>
      <c r="Z37" s="27" t="s">
        <v>73</v>
      </c>
      <c r="AA37" s="17">
        <f>IF(M37="yes",1,0)</f>
        <v>0</v>
      </c>
      <c r="AB37" s="27" t="s">
        <v>76</v>
      </c>
      <c r="AC37" s="17">
        <f>IF(O37="yes",1,0)</f>
        <v>0</v>
      </c>
    </row>
    <row r="42" spans="2:29" ht="13.5" thickBot="1" x14ac:dyDescent="0.25">
      <c r="B42" t="s">
        <v>63</v>
      </c>
      <c r="D42" s="9" t="s">
        <v>1</v>
      </c>
      <c r="E42" s="18" t="str">
        <f>data!I80</f>
        <v>no</v>
      </c>
      <c r="F42" s="9" t="s">
        <v>5</v>
      </c>
      <c r="G42" s="18" t="str">
        <f>data!I83</f>
        <v>yes</v>
      </c>
      <c r="H42" s="9" t="s">
        <v>9</v>
      </c>
      <c r="I42" s="17" t="str">
        <f>data!I86</f>
        <v>no</v>
      </c>
      <c r="J42" s="27" t="s">
        <v>69</v>
      </c>
      <c r="K42" s="17"/>
      <c r="L42" s="27" t="s">
        <v>71</v>
      </c>
      <c r="M42" s="17"/>
      <c r="N42" s="27" t="s">
        <v>74</v>
      </c>
      <c r="O42" s="17"/>
      <c r="Q42" s="9" t="s">
        <v>1</v>
      </c>
      <c r="R42" s="18">
        <f>IF(E42="yes",1,0)*'front end'!$E$15</f>
        <v>0</v>
      </c>
      <c r="S42" s="9" t="s">
        <v>5</v>
      </c>
      <c r="T42" s="18">
        <f>IF(G42="yes",1,0)*'front end'!$E$15</f>
        <v>1</v>
      </c>
      <c r="U42" s="9" t="s">
        <v>9</v>
      </c>
      <c r="V42" s="18">
        <f>IF(I42="yes",1,0)*'front end'!$E$15</f>
        <v>0</v>
      </c>
      <c r="X42" s="27" t="s">
        <v>69</v>
      </c>
      <c r="Y42" s="17">
        <f>IF(K42="yes",1,0)</f>
        <v>0</v>
      </c>
      <c r="Z42" s="27" t="s">
        <v>71</v>
      </c>
      <c r="AA42" s="17">
        <f>IF(M42="yes",1,0)</f>
        <v>0</v>
      </c>
      <c r="AB42" s="27" t="s">
        <v>74</v>
      </c>
      <c r="AC42" s="17">
        <f>IF(O42="yes",1,0)</f>
        <v>0</v>
      </c>
    </row>
    <row r="43" spans="2:29" ht="13.5" thickBot="1" x14ac:dyDescent="0.25">
      <c r="B43" s="15" t="str">
        <f>'front end'!C19</f>
        <v>VDE</v>
      </c>
      <c r="D43" s="9" t="s">
        <v>2</v>
      </c>
      <c r="E43" s="18" t="str">
        <f>data!I81</f>
        <v>no</v>
      </c>
      <c r="F43" s="9" t="s">
        <v>6</v>
      </c>
      <c r="G43" s="18" t="str">
        <f>data!I84</f>
        <v>yes</v>
      </c>
      <c r="H43" s="9" t="s">
        <v>10</v>
      </c>
      <c r="I43" s="17" t="str">
        <f>data!I87</f>
        <v>no</v>
      </c>
      <c r="J43" s="27" t="s">
        <v>70</v>
      </c>
      <c r="K43" s="17"/>
      <c r="L43" s="27" t="s">
        <v>72</v>
      </c>
      <c r="M43" s="17"/>
      <c r="N43" s="27" t="s">
        <v>75</v>
      </c>
      <c r="O43" s="17"/>
      <c r="Q43" s="9" t="s">
        <v>2</v>
      </c>
      <c r="R43" s="18">
        <f>IF(E43="yes",1,0)*'front end'!$E$15</f>
        <v>0</v>
      </c>
      <c r="S43" s="9" t="s">
        <v>6</v>
      </c>
      <c r="T43" s="18">
        <f>IF(G43="yes",1,0)*'front end'!$E$15</f>
        <v>1</v>
      </c>
      <c r="U43" s="9" t="s">
        <v>10</v>
      </c>
      <c r="V43" s="18">
        <f>IF(I43="yes",1,0)*'front end'!$E$15</f>
        <v>0</v>
      </c>
      <c r="X43" s="27" t="s">
        <v>70</v>
      </c>
      <c r="Y43" s="17">
        <f>IF(K43="yes",1,0)</f>
        <v>0</v>
      </c>
      <c r="Z43" s="27" t="s">
        <v>72</v>
      </c>
      <c r="AA43" s="17">
        <f>IF(M43="yes",1,0)</f>
        <v>0</v>
      </c>
      <c r="AB43" s="27" t="s">
        <v>75</v>
      </c>
      <c r="AC43" s="17">
        <f>IF(O43="yes",1,0)</f>
        <v>0</v>
      </c>
    </row>
    <row r="44" spans="2:29" x14ac:dyDescent="0.2">
      <c r="D44" s="9" t="s">
        <v>3</v>
      </c>
      <c r="E44" s="18" t="str">
        <f>data!I82</f>
        <v>no</v>
      </c>
      <c r="F44" s="9" t="s">
        <v>7</v>
      </c>
      <c r="G44" s="18" t="str">
        <f>data!I85</f>
        <v>no</v>
      </c>
      <c r="H44" s="9" t="s">
        <v>11</v>
      </c>
      <c r="I44" s="17" t="str">
        <f>data!I88</f>
        <v>no</v>
      </c>
      <c r="J44" s="27" t="s">
        <v>86</v>
      </c>
      <c r="K44" s="17"/>
      <c r="L44" s="27" t="s">
        <v>73</v>
      </c>
      <c r="M44" s="17"/>
      <c r="N44" s="27" t="s">
        <v>76</v>
      </c>
      <c r="O44" s="17"/>
      <c r="Q44" s="9" t="s">
        <v>3</v>
      </c>
      <c r="R44" s="18">
        <f>IF(E44="yes",1,0)*'front end'!$E$15</f>
        <v>0</v>
      </c>
      <c r="S44" s="9" t="s">
        <v>7</v>
      </c>
      <c r="T44" s="18">
        <f>IF(G44="yes",1,0)*'front end'!$E$15</f>
        <v>0</v>
      </c>
      <c r="U44" s="9" t="s">
        <v>11</v>
      </c>
      <c r="V44" s="18">
        <f>IF(I44="yes",1,0)*'front end'!$E$15</f>
        <v>0</v>
      </c>
      <c r="X44" s="27" t="s">
        <v>86</v>
      </c>
      <c r="Y44" s="17">
        <f>IF(K44="yes",1,0)</f>
        <v>0</v>
      </c>
      <c r="Z44" s="27" t="s">
        <v>73</v>
      </c>
      <c r="AA44" s="17">
        <f>IF(M44="yes",1,0)</f>
        <v>0</v>
      </c>
      <c r="AB44" s="27" t="s">
        <v>76</v>
      </c>
      <c r="AC44" s="17">
        <f>IF(O44="yes",1,0)</f>
        <v>0</v>
      </c>
    </row>
    <row r="49" spans="2:29" ht="13.5" thickBot="1" x14ac:dyDescent="0.25">
      <c r="B49" t="s">
        <v>65</v>
      </c>
      <c r="D49" s="9" t="s">
        <v>1</v>
      </c>
      <c r="E49" s="18" t="str">
        <f>data!G44</f>
        <v>no</v>
      </c>
      <c r="F49" s="9" t="s">
        <v>5</v>
      </c>
      <c r="G49" s="18" t="str">
        <f>data!G47</f>
        <v>yes</v>
      </c>
      <c r="H49" s="9" t="s">
        <v>9</v>
      </c>
      <c r="I49" s="17" t="str">
        <f>data!G50</f>
        <v>no</v>
      </c>
      <c r="J49" s="27" t="s">
        <v>69</v>
      </c>
      <c r="K49" s="17"/>
      <c r="L49" s="27" t="s">
        <v>71</v>
      </c>
      <c r="M49" s="17"/>
      <c r="N49" s="27" t="s">
        <v>74</v>
      </c>
      <c r="O49" s="17"/>
      <c r="Q49" s="9" t="s">
        <v>1</v>
      </c>
      <c r="R49" s="18">
        <f>IF(E49="yes",1,0)*'front end'!$E$21</f>
        <v>0</v>
      </c>
      <c r="S49" s="9" t="s">
        <v>5</v>
      </c>
      <c r="T49" s="18">
        <f>IF(G49="yes",1,0)*'front end'!$E$21</f>
        <v>1</v>
      </c>
      <c r="U49" s="9" t="s">
        <v>9</v>
      </c>
      <c r="V49" s="18">
        <f>IF(I49="yes",1,0)*'front end'!$E$21</f>
        <v>0</v>
      </c>
      <c r="X49" s="27" t="s">
        <v>69</v>
      </c>
      <c r="Y49" s="17">
        <f>IF(K49="yes",1,0)</f>
        <v>0</v>
      </c>
      <c r="Z49" s="27" t="s">
        <v>71</v>
      </c>
      <c r="AA49" s="17">
        <f>IF(M49="yes",1,0)</f>
        <v>0</v>
      </c>
      <c r="AB49" s="27" t="s">
        <v>74</v>
      </c>
      <c r="AC49" s="17">
        <f>IF(O49="yes",1,0)</f>
        <v>0</v>
      </c>
    </row>
    <row r="50" spans="2:29" ht="13.5" thickBot="1" x14ac:dyDescent="0.25">
      <c r="B50" s="15" t="str">
        <f>'front end'!C21</f>
        <v>-40 + 125°C</v>
      </c>
      <c r="D50" s="9" t="s">
        <v>2</v>
      </c>
      <c r="E50" s="18" t="str">
        <f>data!G45</f>
        <v>no</v>
      </c>
      <c r="F50" s="9" t="s">
        <v>6</v>
      </c>
      <c r="G50" s="18" t="str">
        <f>data!G48</f>
        <v>yes</v>
      </c>
      <c r="H50" s="9" t="s">
        <v>10</v>
      </c>
      <c r="I50" s="17" t="str">
        <f>data!G51</f>
        <v>no</v>
      </c>
      <c r="J50" s="27" t="s">
        <v>70</v>
      </c>
      <c r="K50" s="17"/>
      <c r="L50" s="27" t="s">
        <v>72</v>
      </c>
      <c r="M50" s="17"/>
      <c r="N50" s="27" t="s">
        <v>75</v>
      </c>
      <c r="O50" s="17"/>
      <c r="Q50" s="9" t="s">
        <v>2</v>
      </c>
      <c r="R50" s="18">
        <f>IF(E50="yes",1,0)*'front end'!$E$21</f>
        <v>0</v>
      </c>
      <c r="S50" s="9" t="s">
        <v>6</v>
      </c>
      <c r="T50" s="18">
        <f>IF(G50="yes",1,0)*'front end'!$E$21</f>
        <v>1</v>
      </c>
      <c r="U50" s="9" t="s">
        <v>10</v>
      </c>
      <c r="V50" s="18">
        <f>IF(I50="yes",1,0)*'front end'!$E$21</f>
        <v>0</v>
      </c>
      <c r="X50" s="27" t="s">
        <v>70</v>
      </c>
      <c r="Y50" s="17">
        <f>IF(K50="yes",1,0)</f>
        <v>0</v>
      </c>
      <c r="Z50" s="27" t="s">
        <v>72</v>
      </c>
      <c r="AA50" s="17">
        <f>IF(M50="yes",1,0)</f>
        <v>0</v>
      </c>
      <c r="AB50" s="27" t="s">
        <v>75</v>
      </c>
      <c r="AC50" s="17">
        <f>IF(O50="yes",1,0)</f>
        <v>0</v>
      </c>
    </row>
    <row r="51" spans="2:29" x14ac:dyDescent="0.2">
      <c r="D51" s="9" t="s">
        <v>3</v>
      </c>
      <c r="E51" s="18" t="str">
        <f>data!G46</f>
        <v>no</v>
      </c>
      <c r="F51" s="9" t="s">
        <v>7</v>
      </c>
      <c r="G51" s="18" t="str">
        <f>data!G49</f>
        <v>yes</v>
      </c>
      <c r="H51" s="9" t="s">
        <v>11</v>
      </c>
      <c r="I51" s="17" t="str">
        <f>data!G52</f>
        <v>no</v>
      </c>
      <c r="J51" s="27" t="s">
        <v>86</v>
      </c>
      <c r="K51" s="17"/>
      <c r="L51" s="27" t="s">
        <v>73</v>
      </c>
      <c r="M51" s="17"/>
      <c r="N51" s="27" t="s">
        <v>76</v>
      </c>
      <c r="O51" s="17"/>
      <c r="Q51" s="9" t="s">
        <v>3</v>
      </c>
      <c r="R51" s="18">
        <f>IF(E51="yes",1,0)*'front end'!$E$21</f>
        <v>0</v>
      </c>
      <c r="S51" s="9" t="s">
        <v>7</v>
      </c>
      <c r="T51" s="18">
        <f>IF(G51="yes",1,0)*'front end'!$E$21</f>
        <v>1</v>
      </c>
      <c r="U51" s="9" t="s">
        <v>11</v>
      </c>
      <c r="V51" s="18">
        <f>IF(I51="yes",1,0)*'front end'!$E$21</f>
        <v>0</v>
      </c>
      <c r="X51" s="27" t="s">
        <v>86</v>
      </c>
      <c r="Y51" s="17">
        <f>IF(K51="yes",1,0)</f>
        <v>0</v>
      </c>
      <c r="Z51" s="27" t="s">
        <v>73</v>
      </c>
      <c r="AA51" s="17">
        <f>IF(M51="yes",1,0)</f>
        <v>0</v>
      </c>
      <c r="AB51" s="27" t="s">
        <v>76</v>
      </c>
      <c r="AC51" s="17">
        <f>IF(O51="yes",1,0)</f>
        <v>0</v>
      </c>
    </row>
    <row r="55" spans="2:29" x14ac:dyDescent="0.2">
      <c r="Q55" s="9" t="s">
        <v>1</v>
      </c>
      <c r="R55" s="18">
        <f>R49+R42+R35+R28+R21+R14+R7</f>
        <v>3</v>
      </c>
      <c r="S55" s="9" t="s">
        <v>5</v>
      </c>
      <c r="T55" s="18">
        <f>T49+T42+T35+T28+T21+T14+T7</f>
        <v>6</v>
      </c>
      <c r="U55" s="9" t="s">
        <v>9</v>
      </c>
      <c r="V55" s="18">
        <f>V49+V42+V35+V28+V21+V14+V7</f>
        <v>0</v>
      </c>
      <c r="X55" s="27" t="s">
        <v>69</v>
      </c>
      <c r="Y55" s="17">
        <f>IF(K55="yes",1,0)</f>
        <v>0</v>
      </c>
      <c r="Z55" s="27" t="s">
        <v>71</v>
      </c>
      <c r="AA55" s="17">
        <f>IF(M55="yes",1,0)</f>
        <v>0</v>
      </c>
      <c r="AB55" s="27" t="s">
        <v>74</v>
      </c>
      <c r="AC55" s="17">
        <f>IF(O55="yes",1,0)</f>
        <v>0</v>
      </c>
    </row>
    <row r="56" spans="2:29" x14ac:dyDescent="0.2">
      <c r="Q56" s="9" t="s">
        <v>2</v>
      </c>
      <c r="R56" s="18">
        <f>R50+R43+R36+R29+R22+R15+R8</f>
        <v>3</v>
      </c>
      <c r="S56" s="9" t="s">
        <v>6</v>
      </c>
      <c r="T56" s="18">
        <f>T50+T43+T36+T29+T22+T15+T8</f>
        <v>4</v>
      </c>
      <c r="U56" s="9" t="s">
        <v>10</v>
      </c>
      <c r="V56" s="18">
        <f>V50+V43+V36+V29+V22+V15+V8</f>
        <v>0</v>
      </c>
      <c r="X56" s="27" t="s">
        <v>70</v>
      </c>
      <c r="Y56" s="17">
        <f>IF(K56="yes",1,0)</f>
        <v>0</v>
      </c>
      <c r="Z56" s="27" t="s">
        <v>72</v>
      </c>
      <c r="AA56" s="17">
        <f>IF(M56="yes",1,0)</f>
        <v>0</v>
      </c>
      <c r="AB56" s="27" t="s">
        <v>75</v>
      </c>
      <c r="AC56" s="17">
        <f>IF(O56="yes",1,0)</f>
        <v>0</v>
      </c>
    </row>
    <row r="57" spans="2:29" x14ac:dyDescent="0.2">
      <c r="Q57" s="9" t="s">
        <v>3</v>
      </c>
      <c r="R57" s="18">
        <f>R51+R44+R37+R30+R23+R16+R9</f>
        <v>4</v>
      </c>
      <c r="S57" s="9" t="s">
        <v>7</v>
      </c>
      <c r="T57" s="18">
        <f>T51+T44+T37+T30+T23+T16+T9</f>
        <v>1</v>
      </c>
      <c r="U57" s="9" t="s">
        <v>11</v>
      </c>
      <c r="V57" s="18">
        <f>V51+V44+V37+V30+V23+V16+V9</f>
        <v>0</v>
      </c>
      <c r="X57" s="27" t="s">
        <v>86</v>
      </c>
      <c r="Y57" s="17">
        <f>IF(K57="yes",1,0)</f>
        <v>0</v>
      </c>
      <c r="Z57" s="27" t="s">
        <v>73</v>
      </c>
      <c r="AA57" s="17">
        <f>IF(M57="yes",1,0)</f>
        <v>0</v>
      </c>
      <c r="AB57" s="27" t="s">
        <v>76</v>
      </c>
      <c r="AC57" s="17">
        <f>IF(O57="yes",1,0)</f>
        <v>0</v>
      </c>
    </row>
  </sheetData>
  <mergeCells count="1">
    <mergeCell ref="C2:J3"/>
  </mergeCells>
  <phoneticPr fontId="3" type="noConversion"/>
  <conditionalFormatting sqref="O7:O9 M7:M9 K7:K9 E7:E9 G7:G9 I49:I51 G14:G16 E14:E16 I14:I16 E21:E23 G21:G23 I21:I23 G28:G30 E28:E30 I28:I30 E35:E37 G35:G37 I35:I37 G42:G44 E42:E44 I42:I44 E49:E51 G49:G51 I7:I9 R21:R23 V55:V57 T21:T23 R28:R30 V21:V23 T28:T30 R35:R37 V28:V30 T35:T37 R42:R44 V35:V37 T42:T44 R49:R51 V42:V44 T49:T51 T7:T9 R7:R9 V7:V9 T14:T16 R14:R16 V14:V16 R55:R57 T55:T57 V49:V51 K28:K30 M28:M30 O28:O30 K35:K37 M35:M37 O35:O37 K42:K44 M42:M44 O42:O44 K49:K51 M49:M51 O49:O51 O14:O16 K21:K23 M21:M23 M14:M16 K14:K16 O21:O23">
    <cfRule type="cellIs" dxfId="4" priority="1" stopIfTrue="1" operator="equal">
      <formula>"no"</formula>
    </cfRule>
    <cfRule type="cellIs" dxfId="3" priority="2" stopIfTrue="1" operator="equal">
      <formula>"yes"</formula>
    </cfRule>
  </conditionalFormatting>
  <dataValidations count="7">
    <dataValidation type="list" allowBlank="1" showInputMessage="1" showErrorMessage="1" sqref="B8">
      <formula1>IP</formula1>
    </dataValidation>
    <dataValidation type="list" allowBlank="1" showInputMessage="1" showErrorMessage="1" sqref="B15">
      <formula1>voltage</formula1>
    </dataValidation>
    <dataValidation type="list" allowBlank="1" showInputMessage="1" showErrorMessage="1" sqref="B22">
      <formula1>current</formula1>
    </dataValidation>
    <dataValidation type="list" allowBlank="1" showInputMessage="1" showErrorMessage="1" sqref="B29">
      <formula1>poles</formula1>
    </dataValidation>
    <dataValidation type="list" allowBlank="1" showInputMessage="1" showErrorMessage="1" sqref="B36">
      <formula1>termination</formula1>
    </dataValidation>
    <dataValidation type="list" allowBlank="1" showInputMessage="1" showErrorMessage="1" sqref="B43">
      <formula1>certification</formula1>
    </dataValidation>
    <dataValidation type="list" allowBlank="1" showInputMessage="1" showErrorMessage="1" sqref="B50">
      <formula1>temperature</formula1>
    </dataValidation>
  </dataValidations>
  <pageMargins left="0.75" right="0.75" top="1" bottom="1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Group Box 2">
              <controlPr defaultSize="0" autoFill="0" autoPict="0">
                <anchor moveWithCells="1">
                  <from>
                    <xdr:col>0</xdr:col>
                    <xdr:colOff>1047750</xdr:colOff>
                    <xdr:row>5</xdr:row>
                    <xdr:rowOff>0</xdr:rowOff>
                  </from>
                  <to>
                    <xdr:col>15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Group Box 5">
              <controlPr defaultSize="0" autoFill="0" autoPict="0">
                <anchor moveWithCells="1">
                  <from>
                    <xdr:col>0</xdr:col>
                    <xdr:colOff>1047750</xdr:colOff>
                    <xdr:row>12</xdr:row>
                    <xdr:rowOff>0</xdr:rowOff>
                  </from>
                  <to>
                    <xdr:col>15</xdr:col>
                    <xdr:colOff>266700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Group Box 6">
              <controlPr defaultSize="0" autoFill="0" autoPict="0">
                <anchor moveWithCells="1">
                  <from>
                    <xdr:col>0</xdr:col>
                    <xdr:colOff>1047750</xdr:colOff>
                    <xdr:row>19</xdr:row>
                    <xdr:rowOff>0</xdr:rowOff>
                  </from>
                  <to>
                    <xdr:col>15</xdr:col>
                    <xdr:colOff>266700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>
                <anchor moveWithCells="1">
                  <from>
                    <xdr:col>0</xdr:col>
                    <xdr:colOff>1057275</xdr:colOff>
                    <xdr:row>26</xdr:row>
                    <xdr:rowOff>0</xdr:rowOff>
                  </from>
                  <to>
                    <xdr:col>15</xdr:col>
                    <xdr:colOff>247650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Group Box 9">
              <controlPr defaultSize="0" autoFill="0" autoPict="0">
                <anchor moveWithCells="1">
                  <from>
                    <xdr:col>0</xdr:col>
                    <xdr:colOff>1047750</xdr:colOff>
                    <xdr:row>33</xdr:row>
                    <xdr:rowOff>0</xdr:rowOff>
                  </from>
                  <to>
                    <xdr:col>15</xdr:col>
                    <xdr:colOff>238125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Group Box 10">
              <controlPr defaultSize="0" autoFill="0" autoPict="0">
                <anchor moveWithCells="1">
                  <from>
                    <xdr:col>0</xdr:col>
                    <xdr:colOff>1047750</xdr:colOff>
                    <xdr:row>40</xdr:row>
                    <xdr:rowOff>0</xdr:rowOff>
                  </from>
                  <to>
                    <xdr:col>15</xdr:col>
                    <xdr:colOff>276225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Group Box 11">
              <controlPr defaultSize="0" autoFill="0" autoPict="0">
                <anchor moveWithCells="1">
                  <from>
                    <xdr:col>0</xdr:col>
                    <xdr:colOff>1047750</xdr:colOff>
                    <xdr:row>47</xdr:row>
                    <xdr:rowOff>0</xdr:rowOff>
                  </from>
                  <to>
                    <xdr:col>15</xdr:col>
                    <xdr:colOff>228600</xdr:colOff>
                    <xdr:row>52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Z30"/>
  <sheetViews>
    <sheetView topLeftCell="A8" workbookViewId="0">
      <selection activeCell="Z23" sqref="Z23"/>
    </sheetView>
  </sheetViews>
  <sheetFormatPr defaultColWidth="11.42578125" defaultRowHeight="12.75" x14ac:dyDescent="0.2"/>
  <cols>
    <col min="1" max="2" width="5.7109375" bestFit="1" customWidth="1"/>
    <col min="3" max="3" width="4.140625" bestFit="1" customWidth="1"/>
    <col min="4" max="8" width="2" bestFit="1" customWidth="1"/>
    <col min="9" max="10" width="3" bestFit="1" customWidth="1"/>
    <col min="11" max="12" width="2" bestFit="1" customWidth="1"/>
    <col min="13" max="13" width="6.7109375" bestFit="1" customWidth="1"/>
    <col min="14" max="14" width="5.7109375" bestFit="1" customWidth="1"/>
    <col min="15" max="17" width="6.7109375" bestFit="1" customWidth="1"/>
  </cols>
  <sheetData>
    <row r="1" spans="1:26" x14ac:dyDescent="0.2">
      <c r="A1" t="s">
        <v>24</v>
      </c>
      <c r="E1">
        <v>5</v>
      </c>
      <c r="F1">
        <v>6</v>
      </c>
      <c r="G1">
        <v>7</v>
      </c>
      <c r="H1">
        <v>8</v>
      </c>
      <c r="I1">
        <v>12</v>
      </c>
      <c r="J1">
        <v>14</v>
      </c>
      <c r="K1">
        <v>2</v>
      </c>
      <c r="L1">
        <v>3</v>
      </c>
      <c r="M1" t="s">
        <v>43</v>
      </c>
      <c r="N1" t="s">
        <v>44</v>
      </c>
      <c r="O1" t="s">
        <v>45</v>
      </c>
      <c r="P1" t="s">
        <v>46</v>
      </c>
      <c r="Q1" t="s">
        <v>47</v>
      </c>
    </row>
    <row r="2" spans="1:26" x14ac:dyDescent="0.2">
      <c r="A2" t="s">
        <v>26</v>
      </c>
    </row>
    <row r="3" spans="1:26" x14ac:dyDescent="0.2">
      <c r="A3" s="4" t="s">
        <v>39</v>
      </c>
    </row>
    <row r="4" spans="1:26" x14ac:dyDescent="0.2">
      <c r="A4">
        <v>4</v>
      </c>
    </row>
    <row r="5" spans="1:26" x14ac:dyDescent="0.2">
      <c r="A5">
        <v>5</v>
      </c>
    </row>
    <row r="6" spans="1:26" x14ac:dyDescent="0.2">
      <c r="A6">
        <v>6</v>
      </c>
    </row>
    <row r="7" spans="1:26" x14ac:dyDescent="0.2">
      <c r="A7">
        <v>7</v>
      </c>
    </row>
    <row r="8" spans="1:26" x14ac:dyDescent="0.2">
      <c r="A8">
        <v>8</v>
      </c>
      <c r="S8" t="s">
        <v>51</v>
      </c>
    </row>
    <row r="9" spans="1:26" x14ac:dyDescent="0.2">
      <c r="A9">
        <v>9</v>
      </c>
      <c r="S9" t="s">
        <v>14</v>
      </c>
    </row>
    <row r="10" spans="1:26" x14ac:dyDescent="0.2">
      <c r="S10" t="s">
        <v>15</v>
      </c>
    </row>
    <row r="11" spans="1:26" ht="13.5" thickBot="1" x14ac:dyDescent="0.25">
      <c r="S11" t="s">
        <v>16</v>
      </c>
    </row>
    <row r="12" spans="1:26" x14ac:dyDescent="0.2">
      <c r="X12" s="7" t="s">
        <v>52</v>
      </c>
      <c r="Z12" t="s">
        <v>53</v>
      </c>
    </row>
    <row r="13" spans="1:26" x14ac:dyDescent="0.2">
      <c r="T13" s="3" t="s">
        <v>13</v>
      </c>
      <c r="U13" t="s">
        <v>14</v>
      </c>
      <c r="V13" t="s">
        <v>15</v>
      </c>
      <c r="W13" t="s">
        <v>16</v>
      </c>
      <c r="X13" s="8" t="str">
        <f>'front-end details'!B8</f>
        <v>IP67</v>
      </c>
      <c r="Z13" t="str">
        <f>X13</f>
        <v>IP67</v>
      </c>
    </row>
    <row r="14" spans="1:26" x14ac:dyDescent="0.2">
      <c r="S14" s="49" t="s">
        <v>0</v>
      </c>
      <c r="T14" s="1" t="s">
        <v>1</v>
      </c>
      <c r="U14" t="s">
        <v>17</v>
      </c>
      <c r="X14" s="8" t="str">
        <f t="shared" ref="X14:X22" si="0">IF(Z14="x","yes","no")</f>
        <v>no</v>
      </c>
      <c r="Z14" s="6">
        <f>HLOOKUP($X$13,$U$13:$W$19,2,0)</f>
        <v>0</v>
      </c>
    </row>
    <row r="15" spans="1:26" x14ac:dyDescent="0.2">
      <c r="S15" s="49"/>
      <c r="T15" s="1" t="s">
        <v>2</v>
      </c>
      <c r="U15" t="s">
        <v>17</v>
      </c>
      <c r="X15" s="8" t="str">
        <f t="shared" si="0"/>
        <v>no</v>
      </c>
      <c r="Z15" s="6">
        <f>HLOOKUP($X$13,$U$13:$W$19,3,0)</f>
        <v>0</v>
      </c>
    </row>
    <row r="16" spans="1:26" x14ac:dyDescent="0.2">
      <c r="S16" s="49"/>
      <c r="T16" s="1" t="s">
        <v>3</v>
      </c>
      <c r="U16" t="s">
        <v>17</v>
      </c>
      <c r="V16" t="s">
        <v>17</v>
      </c>
      <c r="W16" t="s">
        <v>17</v>
      </c>
      <c r="X16" s="8" t="str">
        <f t="shared" si="0"/>
        <v>yes</v>
      </c>
      <c r="Z16" s="6" t="str">
        <f>HLOOKUP($X$13,$U$13:$W$19,4,0)</f>
        <v>x</v>
      </c>
    </row>
    <row r="17" spans="19:26" x14ac:dyDescent="0.2">
      <c r="S17" s="47" t="s">
        <v>4</v>
      </c>
      <c r="T17" s="2" t="s">
        <v>5</v>
      </c>
      <c r="U17" t="s">
        <v>17</v>
      </c>
      <c r="V17" t="s">
        <v>17</v>
      </c>
      <c r="W17" t="s">
        <v>17</v>
      </c>
      <c r="X17" s="8" t="str">
        <f t="shared" si="0"/>
        <v>yes</v>
      </c>
      <c r="Z17" s="6" t="str">
        <f>HLOOKUP($X$13,$U$13:$W$19,5,0)</f>
        <v>x</v>
      </c>
    </row>
    <row r="18" spans="19:26" x14ac:dyDescent="0.2">
      <c r="S18" s="47"/>
      <c r="T18" s="2" t="s">
        <v>6</v>
      </c>
      <c r="U18" t="s">
        <v>17</v>
      </c>
      <c r="X18" s="8" t="str">
        <f t="shared" si="0"/>
        <v>no</v>
      </c>
      <c r="Z18" s="6">
        <f>HLOOKUP($X$13,$U$13:$W$19,6,0)</f>
        <v>0</v>
      </c>
    </row>
    <row r="19" spans="19:26" x14ac:dyDescent="0.2">
      <c r="S19" s="47"/>
      <c r="T19" s="2" t="s">
        <v>7</v>
      </c>
      <c r="U19" t="s">
        <v>17</v>
      </c>
      <c r="X19" s="8" t="str">
        <f t="shared" si="0"/>
        <v>no</v>
      </c>
      <c r="Z19" s="6">
        <f>HLOOKUP($X$13,$U$13:$W$19,7,0)</f>
        <v>0</v>
      </c>
    </row>
    <row r="20" spans="19:26" x14ac:dyDescent="0.2">
      <c r="T20" s="3" t="s">
        <v>9</v>
      </c>
      <c r="X20" s="8" t="str">
        <f t="shared" si="0"/>
        <v>no</v>
      </c>
      <c r="Z20" s="6">
        <f>HLOOKUP($X$13,$U$13:$W$24,8,0)</f>
        <v>0</v>
      </c>
    </row>
    <row r="21" spans="19:26" x14ac:dyDescent="0.2">
      <c r="T21" s="3" t="s">
        <v>10</v>
      </c>
      <c r="X21" s="8" t="str">
        <f t="shared" si="0"/>
        <v>no</v>
      </c>
      <c r="Z21" s="6">
        <f>HLOOKUP($X$13,$U$13:$W$24,9,0)</f>
        <v>0</v>
      </c>
    </row>
    <row r="22" spans="19:26" x14ac:dyDescent="0.2">
      <c r="T22" s="3" t="s">
        <v>11</v>
      </c>
      <c r="X22" s="8" t="str">
        <f t="shared" si="0"/>
        <v>no</v>
      </c>
      <c r="Z22" s="6">
        <f>HLOOKUP($X$13,$U$13:$W$24,10,0)</f>
        <v>0</v>
      </c>
    </row>
    <row r="23" spans="19:26" x14ac:dyDescent="0.2">
      <c r="Z23" s="6"/>
    </row>
    <row r="24" spans="19:26" x14ac:dyDescent="0.2">
      <c r="S24" t="s">
        <v>54</v>
      </c>
    </row>
    <row r="25" spans="19:26" x14ac:dyDescent="0.2">
      <c r="S25" s="10" t="s">
        <v>59</v>
      </c>
    </row>
    <row r="26" spans="19:26" x14ac:dyDescent="0.2">
      <c r="S26" s="10" t="s">
        <v>56</v>
      </c>
    </row>
    <row r="27" spans="19:26" x14ac:dyDescent="0.2">
      <c r="S27" s="10" t="s">
        <v>57</v>
      </c>
    </row>
    <row r="28" spans="19:26" x14ac:dyDescent="0.2">
      <c r="S28" s="10" t="s">
        <v>58</v>
      </c>
    </row>
    <row r="29" spans="19:26" x14ac:dyDescent="0.2">
      <c r="S29" s="10" t="s">
        <v>55</v>
      </c>
    </row>
    <row r="30" spans="19:26" x14ac:dyDescent="0.2">
      <c r="S30" s="10" t="s">
        <v>41</v>
      </c>
    </row>
  </sheetData>
  <mergeCells count="2">
    <mergeCell ref="S14:S16"/>
    <mergeCell ref="S17:S19"/>
  </mergeCells>
  <phoneticPr fontId="3" type="noConversion"/>
  <pageMargins left="0.75" right="0.75" top="1" bottom="1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3:J35"/>
  <sheetViews>
    <sheetView showGridLines="0" tabSelected="1" topLeftCell="A10" zoomScaleNormal="100" workbookViewId="0">
      <selection activeCell="C9" sqref="C9"/>
    </sheetView>
  </sheetViews>
  <sheetFormatPr defaultColWidth="11.42578125" defaultRowHeight="12.75" x14ac:dyDescent="0.2"/>
  <cols>
    <col min="1" max="1" width="12.85546875" customWidth="1"/>
    <col min="2" max="2" width="17.5703125" customWidth="1"/>
    <col min="3" max="3" width="11.42578125" customWidth="1"/>
    <col min="4" max="4" width="15.85546875" customWidth="1"/>
    <col min="5" max="5" width="21.7109375" bestFit="1" customWidth="1"/>
    <col min="6" max="6" width="15.7109375" customWidth="1"/>
    <col min="7" max="7" width="11.42578125" customWidth="1"/>
    <col min="8" max="8" width="6.7109375" bestFit="1" customWidth="1"/>
  </cols>
  <sheetData>
    <row r="3" spans="1:10" x14ac:dyDescent="0.2">
      <c r="E3">
        <v>7</v>
      </c>
    </row>
    <row r="6" spans="1:10" ht="13.5" thickBot="1" x14ac:dyDescent="0.25"/>
    <row r="7" spans="1:10" ht="13.5" thickBot="1" x14ac:dyDescent="0.25">
      <c r="B7" t="s">
        <v>98</v>
      </c>
      <c r="C7" s="38">
        <v>4</v>
      </c>
      <c r="E7" t="s">
        <v>27</v>
      </c>
      <c r="F7" s="38" t="s">
        <v>40</v>
      </c>
    </row>
    <row r="8" spans="1:10" ht="13.5" thickBot="1" x14ac:dyDescent="0.25">
      <c r="C8" s="10"/>
      <c r="F8" s="10"/>
    </row>
    <row r="9" spans="1:10" ht="13.5" thickBot="1" x14ac:dyDescent="0.25">
      <c r="B9" t="s">
        <v>19</v>
      </c>
      <c r="C9" s="38" t="s">
        <v>96</v>
      </c>
      <c r="E9" t="s">
        <v>22</v>
      </c>
      <c r="F9" s="38" t="s">
        <v>31</v>
      </c>
    </row>
    <row r="10" spans="1:10" ht="13.5" thickBot="1" x14ac:dyDescent="0.25">
      <c r="C10" s="10"/>
      <c r="F10" s="10"/>
    </row>
    <row r="11" spans="1:10" ht="13.5" thickBot="1" x14ac:dyDescent="0.25">
      <c r="B11" t="s">
        <v>20</v>
      </c>
      <c r="C11" s="38" t="s">
        <v>56</v>
      </c>
      <c r="E11" t="s">
        <v>23</v>
      </c>
      <c r="F11" s="38" t="s">
        <v>34</v>
      </c>
    </row>
    <row r="14" spans="1:10" ht="13.5" thickBot="1" x14ac:dyDescent="0.25">
      <c r="C14" s="33" t="s">
        <v>99</v>
      </c>
      <c r="D14" s="33" t="s">
        <v>19</v>
      </c>
      <c r="E14" s="33" t="s">
        <v>22</v>
      </c>
      <c r="F14" s="33" t="s">
        <v>23</v>
      </c>
      <c r="G14" s="33" t="s">
        <v>20</v>
      </c>
      <c r="H14" s="33" t="s">
        <v>61</v>
      </c>
    </row>
    <row r="15" spans="1:10" x14ac:dyDescent="0.2">
      <c r="A15" s="53" t="s">
        <v>0</v>
      </c>
      <c r="B15" s="30" t="s">
        <v>1</v>
      </c>
      <c r="C15" s="39" t="str">
        <f>masterfile!G5</f>
        <v>yes</v>
      </c>
      <c r="D15" s="39" t="str">
        <f>masterfile!J28</f>
        <v>no</v>
      </c>
      <c r="E15" s="39" t="str">
        <f>masterfile!I96</f>
        <v>yes</v>
      </c>
      <c r="F15" s="39" t="str">
        <f>masterfile!J119</f>
        <v>yes</v>
      </c>
      <c r="G15" s="39" t="str">
        <f>masterfile!N50</f>
        <v>yes</v>
      </c>
      <c r="H15" s="39" t="str">
        <f>masterfile!M73</f>
        <v>yes</v>
      </c>
      <c r="I15" s="34">
        <f>COUNTIF($C15:$H15,"yes")/6</f>
        <v>0.83333333333333337</v>
      </c>
      <c r="J15" s="43" t="str">
        <f>IF(COUNTIF($C15:$H15,"no")&gt;0,"","solution")</f>
        <v/>
      </c>
    </row>
    <row r="16" spans="1:10" x14ac:dyDescent="0.2">
      <c r="A16" s="54"/>
      <c r="B16" s="18" t="s">
        <v>2</v>
      </c>
      <c r="C16" s="40" t="str">
        <f>masterfile!G6</f>
        <v>yes</v>
      </c>
      <c r="D16" s="40" t="str">
        <f>masterfile!J29</f>
        <v>no</v>
      </c>
      <c r="E16" s="40" t="str">
        <f>masterfile!I97</f>
        <v>yes</v>
      </c>
      <c r="F16" s="40" t="str">
        <f>masterfile!J120</f>
        <v>yes</v>
      </c>
      <c r="G16" s="40" t="str">
        <f>masterfile!N51</f>
        <v>yes</v>
      </c>
      <c r="H16" s="40" t="str">
        <f>masterfile!M74</f>
        <v>yes</v>
      </c>
      <c r="I16" s="32">
        <f t="shared" ref="I16:I35" si="0">COUNTIF($C16:$H16,"yes")/6</f>
        <v>0.83333333333333337</v>
      </c>
      <c r="J16" s="44" t="str">
        <f t="shared" ref="J16:J35" si="1">IF(COUNTIF($C16:$H16,"no")&gt;0,"","solution")</f>
        <v/>
      </c>
    </row>
    <row r="17" spans="1:10" ht="13.5" thickBot="1" x14ac:dyDescent="0.25">
      <c r="A17" s="55"/>
      <c r="B17" s="31" t="s">
        <v>3</v>
      </c>
      <c r="C17" s="41" t="str">
        <f>masterfile!G7</f>
        <v>yes</v>
      </c>
      <c r="D17" s="41" t="str">
        <f>masterfile!J30</f>
        <v>no</v>
      </c>
      <c r="E17" s="41" t="str">
        <f>masterfile!I98</f>
        <v>yes</v>
      </c>
      <c r="F17" s="41" t="str">
        <f>masterfile!J121</f>
        <v>yes</v>
      </c>
      <c r="G17" s="41" t="str">
        <f>masterfile!N52</f>
        <v>yes</v>
      </c>
      <c r="H17" s="41" t="str">
        <f>masterfile!M75</f>
        <v>yes</v>
      </c>
      <c r="I17" s="35">
        <f t="shared" si="0"/>
        <v>0.83333333333333337</v>
      </c>
      <c r="J17" s="45" t="str">
        <f t="shared" si="1"/>
        <v/>
      </c>
    </row>
    <row r="18" spans="1:10" ht="9.75" customHeight="1" thickBot="1" x14ac:dyDescent="0.25">
      <c r="C18" s="42"/>
      <c r="D18" s="42"/>
      <c r="E18" s="42"/>
      <c r="F18" s="42"/>
      <c r="G18" s="42"/>
      <c r="H18" s="42"/>
      <c r="J18" s="46"/>
    </row>
    <row r="19" spans="1:10" x14ac:dyDescent="0.2">
      <c r="A19" s="56" t="s">
        <v>4</v>
      </c>
      <c r="B19" s="30" t="s">
        <v>102</v>
      </c>
      <c r="C19" s="39" t="str">
        <f>masterfile!G8</f>
        <v>yes</v>
      </c>
      <c r="D19" s="39" t="str">
        <f>masterfile!J31</f>
        <v>no</v>
      </c>
      <c r="E19" s="39" t="str">
        <f>masterfile!I99</f>
        <v>yes</v>
      </c>
      <c r="F19" s="39" t="str">
        <f>masterfile!J122</f>
        <v>yes</v>
      </c>
      <c r="G19" s="39" t="str">
        <f>masterfile!N53</f>
        <v>yes</v>
      </c>
      <c r="H19" s="39" t="str">
        <f>masterfile!M76</f>
        <v>yes</v>
      </c>
      <c r="I19" s="34">
        <f t="shared" si="0"/>
        <v>0.83333333333333337</v>
      </c>
      <c r="J19" s="43" t="str">
        <f t="shared" si="1"/>
        <v/>
      </c>
    </row>
    <row r="20" spans="1:10" x14ac:dyDescent="0.2">
      <c r="A20" s="57"/>
      <c r="B20" s="18" t="s">
        <v>6</v>
      </c>
      <c r="C20" s="40" t="str">
        <f>masterfile!G9</f>
        <v>yes</v>
      </c>
      <c r="D20" s="40" t="str">
        <f>masterfile!J32</f>
        <v>no</v>
      </c>
      <c r="E20" s="40" t="str">
        <f>masterfile!I100</f>
        <v>yes</v>
      </c>
      <c r="F20" s="40" t="str">
        <f>masterfile!J123</f>
        <v>yes</v>
      </c>
      <c r="G20" s="40" t="str">
        <f>masterfile!N54</f>
        <v>yes</v>
      </c>
      <c r="H20" s="40" t="str">
        <f>masterfile!M77</f>
        <v>yes</v>
      </c>
      <c r="I20" s="32">
        <f t="shared" si="0"/>
        <v>0.83333333333333337</v>
      </c>
      <c r="J20" s="44" t="str">
        <f t="shared" si="1"/>
        <v/>
      </c>
    </row>
    <row r="21" spans="1:10" ht="13.5" thickBot="1" x14ac:dyDescent="0.25">
      <c r="A21" s="58"/>
      <c r="B21" s="31" t="s">
        <v>7</v>
      </c>
      <c r="C21" s="41" t="str">
        <f>masterfile!G10</f>
        <v>yes</v>
      </c>
      <c r="D21" s="41" t="str">
        <f>masterfile!J33</f>
        <v>no</v>
      </c>
      <c r="E21" s="41" t="str">
        <f>masterfile!I101</f>
        <v>no</v>
      </c>
      <c r="F21" s="41" t="str">
        <f>masterfile!J124</f>
        <v>yes</v>
      </c>
      <c r="G21" s="41" t="str">
        <f>masterfile!N55</f>
        <v>yes</v>
      </c>
      <c r="H21" s="41" t="str">
        <f>masterfile!M78</f>
        <v>yes</v>
      </c>
      <c r="I21" s="35">
        <f t="shared" si="0"/>
        <v>0.66666666666666663</v>
      </c>
      <c r="J21" s="45" t="str">
        <f t="shared" si="1"/>
        <v/>
      </c>
    </row>
    <row r="22" spans="1:10" ht="9.75" customHeight="1" thickBot="1" x14ac:dyDescent="0.25">
      <c r="C22" s="42"/>
      <c r="D22" s="42"/>
      <c r="E22" s="42"/>
      <c r="F22" s="42"/>
      <c r="G22" s="42"/>
      <c r="H22" s="42"/>
      <c r="J22" s="46"/>
    </row>
    <row r="23" spans="1:10" x14ac:dyDescent="0.2">
      <c r="A23" s="56" t="s">
        <v>100</v>
      </c>
      <c r="B23" s="30" t="s">
        <v>9</v>
      </c>
      <c r="C23" s="39" t="str">
        <f>masterfile!G11</f>
        <v>yes</v>
      </c>
      <c r="D23" s="39" t="str">
        <f>masterfile!J34</f>
        <v>no</v>
      </c>
      <c r="E23" s="39" t="str">
        <f>masterfile!I102</f>
        <v>yes</v>
      </c>
      <c r="F23" s="39" t="str">
        <f>masterfile!J125</f>
        <v>yes</v>
      </c>
      <c r="G23" s="39" t="str">
        <f>masterfile!N56</f>
        <v>yes</v>
      </c>
      <c r="H23" s="39" t="str">
        <f>masterfile!M79</f>
        <v>yes</v>
      </c>
      <c r="I23" s="34">
        <f t="shared" si="0"/>
        <v>0.83333333333333337</v>
      </c>
      <c r="J23" s="43" t="str">
        <f t="shared" si="1"/>
        <v/>
      </c>
    </row>
    <row r="24" spans="1:10" x14ac:dyDescent="0.2">
      <c r="A24" s="57"/>
      <c r="B24" s="18" t="s">
        <v>10</v>
      </c>
      <c r="C24" s="40" t="str">
        <f>masterfile!G12</f>
        <v>yes</v>
      </c>
      <c r="D24" s="40" t="str">
        <f>masterfile!J35</f>
        <v>no</v>
      </c>
      <c r="E24" s="40" t="str">
        <f>masterfile!I103</f>
        <v>yes</v>
      </c>
      <c r="F24" s="40" t="str">
        <f>masterfile!J126</f>
        <v>yes</v>
      </c>
      <c r="G24" s="40" t="str">
        <f>masterfile!N57</f>
        <v>yes</v>
      </c>
      <c r="H24" s="40" t="str">
        <f>masterfile!M80</f>
        <v>yes</v>
      </c>
      <c r="I24" s="32">
        <f t="shared" si="0"/>
        <v>0.83333333333333337</v>
      </c>
      <c r="J24" s="44" t="str">
        <f t="shared" si="1"/>
        <v/>
      </c>
    </row>
    <row r="25" spans="1:10" ht="13.5" thickBot="1" x14ac:dyDescent="0.25">
      <c r="A25" s="58"/>
      <c r="B25" s="31" t="s">
        <v>11</v>
      </c>
      <c r="C25" s="41" t="str">
        <f>masterfile!G13</f>
        <v>yes</v>
      </c>
      <c r="D25" s="41" t="str">
        <f>masterfile!J36</f>
        <v>no</v>
      </c>
      <c r="E25" s="41" t="str">
        <f>masterfile!I104</f>
        <v>yes</v>
      </c>
      <c r="F25" s="41" t="str">
        <f>masterfile!J127</f>
        <v>yes</v>
      </c>
      <c r="G25" s="41" t="str">
        <f>masterfile!N58</f>
        <v>yes</v>
      </c>
      <c r="H25" s="41" t="str">
        <f>masterfile!M81</f>
        <v>yes</v>
      </c>
      <c r="I25" s="35">
        <f t="shared" si="0"/>
        <v>0.83333333333333337</v>
      </c>
      <c r="J25" s="45" t="str">
        <f t="shared" si="1"/>
        <v/>
      </c>
    </row>
    <row r="26" spans="1:10" ht="9.75" customHeight="1" thickBot="1" x14ac:dyDescent="0.25">
      <c r="C26" s="42"/>
      <c r="D26" s="42"/>
      <c r="E26" s="42"/>
      <c r="F26" s="42"/>
      <c r="G26" s="42"/>
      <c r="H26" s="42"/>
      <c r="J26" s="46"/>
    </row>
    <row r="27" spans="1:10" x14ac:dyDescent="0.2">
      <c r="A27" s="59" t="s">
        <v>101</v>
      </c>
      <c r="B27" s="30" t="s">
        <v>69</v>
      </c>
      <c r="C27" s="39" t="str">
        <f>masterfile!G14</f>
        <v>yes</v>
      </c>
      <c r="D27" s="39" t="str">
        <f>masterfile!J37</f>
        <v>yes</v>
      </c>
      <c r="E27" s="39" t="str">
        <f>masterfile!I105</f>
        <v>yes</v>
      </c>
      <c r="F27" s="39" t="str">
        <f>masterfile!J128</f>
        <v>yes</v>
      </c>
      <c r="G27" s="39" t="str">
        <f>masterfile!N59</f>
        <v>yes</v>
      </c>
      <c r="H27" s="39" t="str">
        <f>masterfile!M82</f>
        <v>yes</v>
      </c>
      <c r="I27" s="34">
        <f t="shared" si="0"/>
        <v>1</v>
      </c>
      <c r="J27" s="43" t="str">
        <f t="shared" si="1"/>
        <v>solution</v>
      </c>
    </row>
    <row r="28" spans="1:10" x14ac:dyDescent="0.2">
      <c r="A28" s="60"/>
      <c r="B28" s="18" t="s">
        <v>70</v>
      </c>
      <c r="C28" s="40" t="str">
        <f>masterfile!G15</f>
        <v>yes</v>
      </c>
      <c r="D28" s="40" t="str">
        <f>masterfile!J38</f>
        <v>yes</v>
      </c>
      <c r="E28" s="40" t="str">
        <f>masterfile!I106</f>
        <v>yes</v>
      </c>
      <c r="F28" s="40" t="str">
        <f>masterfile!J129</f>
        <v>yes</v>
      </c>
      <c r="G28" s="40" t="str">
        <f>masterfile!N60</f>
        <v>yes</v>
      </c>
      <c r="H28" s="40" t="str">
        <f>masterfile!M83</f>
        <v>yes</v>
      </c>
      <c r="I28" s="32">
        <f t="shared" si="0"/>
        <v>1</v>
      </c>
      <c r="J28" s="44" t="str">
        <f t="shared" si="1"/>
        <v>solution</v>
      </c>
    </row>
    <row r="29" spans="1:10" x14ac:dyDescent="0.2">
      <c r="A29" s="60"/>
      <c r="B29" s="18" t="s">
        <v>86</v>
      </c>
      <c r="C29" s="40" t="str">
        <f>masterfile!G16</f>
        <v>yes</v>
      </c>
      <c r="D29" s="40" t="str">
        <f>masterfile!J39</f>
        <v>yes</v>
      </c>
      <c r="E29" s="40" t="str">
        <f>masterfile!I107</f>
        <v>yes</v>
      </c>
      <c r="F29" s="40" t="str">
        <f>masterfile!J130</f>
        <v>yes</v>
      </c>
      <c r="G29" s="40" t="str">
        <f>masterfile!N61</f>
        <v>yes</v>
      </c>
      <c r="H29" s="40" t="str">
        <f>masterfile!M84</f>
        <v>yes</v>
      </c>
      <c r="I29" s="32">
        <f t="shared" si="0"/>
        <v>1</v>
      </c>
      <c r="J29" s="44" t="str">
        <f t="shared" si="1"/>
        <v>solution</v>
      </c>
    </row>
    <row r="30" spans="1:10" x14ac:dyDescent="0.2">
      <c r="A30" s="60"/>
      <c r="B30" s="18" t="s">
        <v>71</v>
      </c>
      <c r="C30" s="40" t="str">
        <f>masterfile!G17</f>
        <v>yes</v>
      </c>
      <c r="D30" s="40" t="str">
        <f>masterfile!J40</f>
        <v>yes</v>
      </c>
      <c r="E30" s="40" t="str">
        <f>masterfile!I108</f>
        <v>yes</v>
      </c>
      <c r="F30" s="40" t="str">
        <f>masterfile!J131</f>
        <v>yes</v>
      </c>
      <c r="G30" s="40" t="str">
        <f>masterfile!N62</f>
        <v>yes</v>
      </c>
      <c r="H30" s="40" t="str">
        <f>masterfile!M85</f>
        <v>yes</v>
      </c>
      <c r="I30" s="32">
        <f t="shared" si="0"/>
        <v>1</v>
      </c>
      <c r="J30" s="44" t="str">
        <f t="shared" si="1"/>
        <v>solution</v>
      </c>
    </row>
    <row r="31" spans="1:10" x14ac:dyDescent="0.2">
      <c r="A31" s="60"/>
      <c r="B31" s="18" t="s">
        <v>72</v>
      </c>
      <c r="C31" s="40" t="str">
        <f>masterfile!G18</f>
        <v>yes</v>
      </c>
      <c r="D31" s="40" t="str">
        <f>masterfile!J41</f>
        <v>yes</v>
      </c>
      <c r="E31" s="40" t="str">
        <f>masterfile!I109</f>
        <v>no</v>
      </c>
      <c r="F31" s="40" t="str">
        <f>masterfile!J132</f>
        <v>yes</v>
      </c>
      <c r="G31" s="40" t="str">
        <f>masterfile!N63</f>
        <v>yes</v>
      </c>
      <c r="H31" s="40" t="str">
        <f>masterfile!M86</f>
        <v>yes</v>
      </c>
      <c r="I31" s="32">
        <f t="shared" si="0"/>
        <v>0.83333333333333337</v>
      </c>
      <c r="J31" s="44" t="str">
        <f t="shared" si="1"/>
        <v/>
      </c>
    </row>
    <row r="32" spans="1:10" x14ac:dyDescent="0.2">
      <c r="A32" s="60"/>
      <c r="B32" s="18" t="s">
        <v>73</v>
      </c>
      <c r="C32" s="40" t="str">
        <f>masterfile!G19</f>
        <v>yes</v>
      </c>
      <c r="D32" s="40" t="str">
        <f>masterfile!J42</f>
        <v>yes</v>
      </c>
      <c r="E32" s="40" t="str">
        <f>masterfile!I110</f>
        <v>yes</v>
      </c>
      <c r="F32" s="40" t="str">
        <f>masterfile!J133</f>
        <v>no</v>
      </c>
      <c r="G32" s="40" t="str">
        <f>masterfile!N64</f>
        <v>yes</v>
      </c>
      <c r="H32" s="40" t="str">
        <f>masterfile!M87</f>
        <v>yes</v>
      </c>
      <c r="I32" s="32">
        <f t="shared" si="0"/>
        <v>0.83333333333333337</v>
      </c>
      <c r="J32" s="44" t="str">
        <f t="shared" si="1"/>
        <v/>
      </c>
    </row>
    <row r="33" spans="1:10" x14ac:dyDescent="0.2">
      <c r="A33" s="60"/>
      <c r="B33" s="18" t="s">
        <v>74</v>
      </c>
      <c r="C33" s="40" t="str">
        <f>masterfile!G20</f>
        <v>yes</v>
      </c>
      <c r="D33" s="40" t="str">
        <f>masterfile!J43</f>
        <v>yes</v>
      </c>
      <c r="E33" s="40" t="str">
        <f>masterfile!I111</f>
        <v>yes</v>
      </c>
      <c r="F33" s="40" t="str">
        <f>masterfile!J134</f>
        <v>no</v>
      </c>
      <c r="G33" s="40" t="str">
        <f>masterfile!N65</f>
        <v>yes</v>
      </c>
      <c r="H33" s="40" t="str">
        <f>masterfile!M88</f>
        <v>yes</v>
      </c>
      <c r="I33" s="32">
        <f t="shared" si="0"/>
        <v>0.83333333333333337</v>
      </c>
      <c r="J33" s="44" t="str">
        <f t="shared" si="1"/>
        <v/>
      </c>
    </row>
    <row r="34" spans="1:10" x14ac:dyDescent="0.2">
      <c r="A34" s="60"/>
      <c r="B34" s="18" t="s">
        <v>75</v>
      </c>
      <c r="C34" s="40" t="str">
        <f>masterfile!G21</f>
        <v>yes</v>
      </c>
      <c r="D34" s="40" t="str">
        <f>masterfile!J44</f>
        <v>yes</v>
      </c>
      <c r="E34" s="40" t="str">
        <f>masterfile!I112</f>
        <v>yes</v>
      </c>
      <c r="F34" s="40" t="str">
        <f>masterfile!J135</f>
        <v>no</v>
      </c>
      <c r="G34" s="40" t="str">
        <f>masterfile!N66</f>
        <v>yes</v>
      </c>
      <c r="H34" s="40" t="str">
        <f>masterfile!M89</f>
        <v>yes</v>
      </c>
      <c r="I34" s="32">
        <f t="shared" si="0"/>
        <v>0.83333333333333337</v>
      </c>
      <c r="J34" s="44" t="str">
        <f t="shared" si="1"/>
        <v/>
      </c>
    </row>
    <row r="35" spans="1:10" ht="13.5" thickBot="1" x14ac:dyDescent="0.25">
      <c r="A35" s="61"/>
      <c r="B35" s="31" t="s">
        <v>76</v>
      </c>
      <c r="C35" s="41" t="str">
        <f>masterfile!G22</f>
        <v>yes</v>
      </c>
      <c r="D35" s="41" t="str">
        <f>masterfile!J45</f>
        <v>yes</v>
      </c>
      <c r="E35" s="41" t="str">
        <f>masterfile!I113</f>
        <v>yes</v>
      </c>
      <c r="F35" s="41" t="str">
        <f>masterfile!J136</f>
        <v>yes</v>
      </c>
      <c r="G35" s="41" t="str">
        <f>masterfile!N67</f>
        <v>yes</v>
      </c>
      <c r="H35" s="41" t="str">
        <f>masterfile!M90</f>
        <v>yes</v>
      </c>
      <c r="I35" s="35">
        <f t="shared" si="0"/>
        <v>1</v>
      </c>
      <c r="J35" s="45" t="str">
        <f t="shared" si="1"/>
        <v>solution</v>
      </c>
    </row>
  </sheetData>
  <autoFilter ref="A19:J21"/>
  <mergeCells count="4">
    <mergeCell ref="A15:A17"/>
    <mergeCell ref="A19:A21"/>
    <mergeCell ref="A23:A25"/>
    <mergeCell ref="A27:A35"/>
  </mergeCells>
  <phoneticPr fontId="3" type="noConversion"/>
  <conditionalFormatting sqref="C15:H17 C19:H21 C23:H25 C27:H35">
    <cfRule type="cellIs" dxfId="2" priority="1" stopIfTrue="1" operator="equal">
      <formula>"no"</formula>
    </cfRule>
    <cfRule type="cellIs" dxfId="1" priority="2" stopIfTrue="1" operator="equal">
      <formula>"yes"</formula>
    </cfRule>
  </conditionalFormatting>
  <conditionalFormatting sqref="J15:J35">
    <cfRule type="cellIs" dxfId="0" priority="3" stopIfTrue="1" operator="equal">
      <formula>"solution"</formula>
    </cfRule>
  </conditionalFormatting>
  <dataValidations count="5">
    <dataValidation type="list" allowBlank="1" showInputMessage="1" showErrorMessage="1" sqref="C9">
      <formula1>IP</formula1>
    </dataValidation>
    <dataValidation type="list" allowBlank="1" showInputMessage="1" showErrorMessage="1" sqref="C11">
      <formula1>voltage</formula1>
    </dataValidation>
    <dataValidation type="list" allowBlank="1" showInputMessage="1" showErrorMessage="1" sqref="F7">
      <formula1>current</formula1>
    </dataValidation>
    <dataValidation type="list" allowBlank="1" showInputMessage="1" showErrorMessage="1" sqref="F9">
      <formula1>termination</formula1>
    </dataValidation>
    <dataValidation type="list" allowBlank="1" showInputMessage="1" showErrorMessage="1" sqref="F11">
      <formula1>certification</formula1>
    </dataValidation>
  </dataValidations>
  <pageMargins left="0.75" right="0.75" top="1" bottom="1" header="0.4921259845" footer="0.492125984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3" name="Group Box 3">
              <controlPr defaultSize="0" autoFill="0" autoPict="0">
                <anchor moveWithCells="1">
                  <from>
                    <xdr:col>0</xdr:col>
                    <xdr:colOff>609600</xdr:colOff>
                    <xdr:row>4</xdr:row>
                    <xdr:rowOff>9525</xdr:rowOff>
                  </from>
                  <to>
                    <xdr:col>5</xdr:col>
                    <xdr:colOff>1038225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11"/>
  </sheetPr>
  <dimension ref="A2:Q136"/>
  <sheetViews>
    <sheetView topLeftCell="A52" workbookViewId="0">
      <selection activeCell="F87" sqref="F87"/>
    </sheetView>
  </sheetViews>
  <sheetFormatPr defaultColWidth="11.42578125" defaultRowHeight="12.75" x14ac:dyDescent="0.2"/>
  <sheetData>
    <row r="2" spans="1:7" ht="18" x14ac:dyDescent="0.25">
      <c r="A2" s="62" t="s">
        <v>12</v>
      </c>
      <c r="B2" s="62"/>
      <c r="C2" s="62"/>
      <c r="D2" s="62"/>
      <c r="E2" s="62"/>
      <c r="F2" s="62"/>
      <c r="G2" s="62"/>
    </row>
    <row r="3" spans="1:7" ht="13.5" thickBot="1" x14ac:dyDescent="0.25">
      <c r="F3" t="s">
        <v>53</v>
      </c>
      <c r="G3" t="s">
        <v>60</v>
      </c>
    </row>
    <row r="4" spans="1:7" ht="13.5" thickBot="1" x14ac:dyDescent="0.25">
      <c r="C4" t="s">
        <v>90</v>
      </c>
      <c r="D4" t="s">
        <v>91</v>
      </c>
      <c r="F4" s="15">
        <f>IF('master front end'!C7="","",'master front end'!C7)</f>
        <v>4</v>
      </c>
    </row>
    <row r="5" spans="1:7" x14ac:dyDescent="0.2">
      <c r="A5" s="49" t="s">
        <v>0</v>
      </c>
      <c r="B5" s="1" t="s">
        <v>1</v>
      </c>
      <c r="C5">
        <v>1</v>
      </c>
      <c r="D5">
        <v>14</v>
      </c>
      <c r="F5">
        <f>IF($F$4&lt;=D5,1,0)</f>
        <v>1</v>
      </c>
      <c r="G5" t="str">
        <f>IF(F5&gt;0,"yes","no")</f>
        <v>yes</v>
      </c>
    </row>
    <row r="6" spans="1:7" x14ac:dyDescent="0.2">
      <c r="A6" s="49"/>
      <c r="B6" s="1" t="s">
        <v>2</v>
      </c>
      <c r="C6">
        <v>1</v>
      </c>
      <c r="D6">
        <v>14</v>
      </c>
      <c r="F6">
        <f t="shared" ref="F6:F22" si="0">IF($F$4&lt;=D6,1,0)</f>
        <v>1</v>
      </c>
      <c r="G6" t="str">
        <f t="shared" ref="G6:G22" si="1">IF(F6&gt;0,"yes","no")</f>
        <v>yes</v>
      </c>
    </row>
    <row r="7" spans="1:7" x14ac:dyDescent="0.2">
      <c r="A7" s="49"/>
      <c r="B7" s="1" t="s">
        <v>3</v>
      </c>
      <c r="C7">
        <v>1</v>
      </c>
      <c r="D7">
        <v>14</v>
      </c>
      <c r="F7">
        <f t="shared" si="0"/>
        <v>1</v>
      </c>
      <c r="G7" t="str">
        <f t="shared" si="1"/>
        <v>yes</v>
      </c>
    </row>
    <row r="8" spans="1:7" x14ac:dyDescent="0.2">
      <c r="A8" s="47" t="s">
        <v>4</v>
      </c>
      <c r="B8" s="2" t="s">
        <v>5</v>
      </c>
      <c r="C8">
        <v>1</v>
      </c>
      <c r="D8">
        <v>6</v>
      </c>
      <c r="F8">
        <f t="shared" si="0"/>
        <v>1</v>
      </c>
      <c r="G8" t="str">
        <f t="shared" si="1"/>
        <v>yes</v>
      </c>
    </row>
    <row r="9" spans="1:7" x14ac:dyDescent="0.2">
      <c r="A9" s="47"/>
      <c r="B9" s="2" t="s">
        <v>6</v>
      </c>
      <c r="C9">
        <v>1</v>
      </c>
      <c r="D9">
        <v>19</v>
      </c>
      <c r="F9">
        <f t="shared" si="0"/>
        <v>1</v>
      </c>
      <c r="G9" t="str">
        <f t="shared" si="1"/>
        <v>yes</v>
      </c>
    </row>
    <row r="10" spans="1:7" x14ac:dyDescent="0.2">
      <c r="A10" s="47"/>
      <c r="B10" s="2" t="s">
        <v>7</v>
      </c>
      <c r="C10" s="36">
        <v>1</v>
      </c>
      <c r="D10" s="36">
        <v>4</v>
      </c>
      <c r="F10">
        <f t="shared" si="0"/>
        <v>1</v>
      </c>
      <c r="G10" t="str">
        <f t="shared" si="1"/>
        <v>yes</v>
      </c>
    </row>
    <row r="11" spans="1:7" x14ac:dyDescent="0.2">
      <c r="A11" s="48" t="s">
        <v>8</v>
      </c>
      <c r="B11" s="3" t="s">
        <v>9</v>
      </c>
      <c r="C11">
        <v>1</v>
      </c>
      <c r="D11">
        <v>17</v>
      </c>
      <c r="F11">
        <f t="shared" si="0"/>
        <v>1</v>
      </c>
      <c r="G11" t="str">
        <f t="shared" si="1"/>
        <v>yes</v>
      </c>
    </row>
    <row r="12" spans="1:7" x14ac:dyDescent="0.2">
      <c r="A12" s="48"/>
      <c r="B12" s="3" t="s">
        <v>10</v>
      </c>
      <c r="C12">
        <v>1</v>
      </c>
      <c r="D12">
        <v>9</v>
      </c>
      <c r="F12">
        <f t="shared" si="0"/>
        <v>1</v>
      </c>
      <c r="G12" t="str">
        <f t="shared" si="1"/>
        <v>yes</v>
      </c>
    </row>
    <row r="13" spans="1:7" x14ac:dyDescent="0.2">
      <c r="A13" s="48"/>
      <c r="B13" s="3" t="s">
        <v>11</v>
      </c>
      <c r="C13">
        <v>6</v>
      </c>
      <c r="D13">
        <v>8</v>
      </c>
      <c r="F13">
        <f t="shared" si="0"/>
        <v>1</v>
      </c>
      <c r="G13" t="str">
        <f t="shared" si="1"/>
        <v>yes</v>
      </c>
    </row>
    <row r="14" spans="1:7" x14ac:dyDescent="0.2">
      <c r="A14" s="63" t="s">
        <v>95</v>
      </c>
      <c r="B14" s="28" t="s">
        <v>69</v>
      </c>
      <c r="C14">
        <v>1</v>
      </c>
      <c r="D14">
        <v>128</v>
      </c>
      <c r="F14">
        <f t="shared" si="0"/>
        <v>1</v>
      </c>
      <c r="G14" t="str">
        <f t="shared" si="1"/>
        <v>yes</v>
      </c>
    </row>
    <row r="15" spans="1:7" x14ac:dyDescent="0.2">
      <c r="A15" s="63"/>
      <c r="B15" s="28" t="s">
        <v>70</v>
      </c>
      <c r="C15">
        <v>1</v>
      </c>
      <c r="D15">
        <v>216</v>
      </c>
      <c r="F15">
        <f t="shared" si="0"/>
        <v>1</v>
      </c>
      <c r="G15" t="str">
        <f t="shared" si="1"/>
        <v>yes</v>
      </c>
    </row>
    <row r="16" spans="1:7" x14ac:dyDescent="0.2">
      <c r="A16" s="63"/>
      <c r="B16" s="28" t="s">
        <v>86</v>
      </c>
      <c r="C16">
        <v>1</v>
      </c>
      <c r="D16">
        <v>48</v>
      </c>
      <c r="F16">
        <f t="shared" si="0"/>
        <v>1</v>
      </c>
      <c r="G16" t="str">
        <f t="shared" si="1"/>
        <v>yes</v>
      </c>
    </row>
    <row r="17" spans="1:17" x14ac:dyDescent="0.2">
      <c r="A17" s="63"/>
      <c r="B17" s="28" t="s">
        <v>71</v>
      </c>
      <c r="C17">
        <v>1</v>
      </c>
      <c r="D17">
        <v>92</v>
      </c>
      <c r="F17">
        <f t="shared" si="0"/>
        <v>1</v>
      </c>
      <c r="G17" t="str">
        <f t="shared" si="1"/>
        <v>yes</v>
      </c>
    </row>
    <row r="18" spans="1:17" x14ac:dyDescent="0.2">
      <c r="A18" s="63"/>
      <c r="B18" s="28" t="s">
        <v>72</v>
      </c>
      <c r="C18">
        <v>1</v>
      </c>
      <c r="D18">
        <v>32</v>
      </c>
      <c r="F18">
        <f t="shared" si="0"/>
        <v>1</v>
      </c>
      <c r="G18" t="str">
        <f t="shared" si="1"/>
        <v>yes</v>
      </c>
    </row>
    <row r="19" spans="1:17" x14ac:dyDescent="0.2">
      <c r="A19" s="63"/>
      <c r="B19" s="28" t="s">
        <v>73</v>
      </c>
      <c r="C19">
        <v>1</v>
      </c>
      <c r="D19">
        <v>7</v>
      </c>
      <c r="F19">
        <f t="shared" si="0"/>
        <v>1</v>
      </c>
      <c r="G19" t="str">
        <f t="shared" si="1"/>
        <v>yes</v>
      </c>
    </row>
    <row r="20" spans="1:17" x14ac:dyDescent="0.2">
      <c r="A20" s="63"/>
      <c r="B20" s="28" t="s">
        <v>74</v>
      </c>
      <c r="C20">
        <v>1</v>
      </c>
      <c r="D20">
        <v>40</v>
      </c>
      <c r="F20">
        <f t="shared" si="0"/>
        <v>1</v>
      </c>
      <c r="G20" t="str">
        <f t="shared" si="1"/>
        <v>yes</v>
      </c>
    </row>
    <row r="21" spans="1:17" x14ac:dyDescent="0.2">
      <c r="A21" s="63"/>
      <c r="B21" s="28" t="s">
        <v>75</v>
      </c>
      <c r="C21">
        <v>1</v>
      </c>
      <c r="D21">
        <f>2*7*20</f>
        <v>280</v>
      </c>
      <c r="F21">
        <f t="shared" si="0"/>
        <v>1</v>
      </c>
      <c r="G21" t="str">
        <f t="shared" si="1"/>
        <v>yes</v>
      </c>
    </row>
    <row r="22" spans="1:17" x14ac:dyDescent="0.2">
      <c r="A22" s="63"/>
      <c r="B22" s="28" t="s">
        <v>76</v>
      </c>
      <c r="C22">
        <v>1</v>
      </c>
      <c r="D22">
        <f>2*7*20</f>
        <v>280</v>
      </c>
      <c r="F22">
        <f t="shared" si="0"/>
        <v>1</v>
      </c>
      <c r="G22" t="str">
        <f t="shared" si="1"/>
        <v>yes</v>
      </c>
    </row>
    <row r="25" spans="1:17" ht="18" x14ac:dyDescent="0.25">
      <c r="A25" s="62" t="s">
        <v>19</v>
      </c>
      <c r="B25" s="62"/>
      <c r="C25" s="62"/>
      <c r="D25" s="62"/>
      <c r="E25" s="62"/>
      <c r="F25" s="62"/>
      <c r="G25" s="62"/>
    </row>
    <row r="26" spans="1:17" ht="13.5" thickBot="1" x14ac:dyDescent="0.25">
      <c r="I26" t="s">
        <v>53</v>
      </c>
      <c r="J26" t="s">
        <v>60</v>
      </c>
      <c r="M26" t="s">
        <v>51</v>
      </c>
      <c r="N26" t="s">
        <v>20</v>
      </c>
      <c r="O26" t="s">
        <v>61</v>
      </c>
      <c r="P26" t="s">
        <v>62</v>
      </c>
      <c r="Q26" t="s">
        <v>23</v>
      </c>
    </row>
    <row r="27" spans="1:17" ht="13.5" thickBot="1" x14ac:dyDescent="0.25">
      <c r="C27" s="10" t="s">
        <v>97</v>
      </c>
      <c r="D27" t="s">
        <v>14</v>
      </c>
      <c r="E27" t="s">
        <v>15</v>
      </c>
      <c r="F27" t="s">
        <v>16</v>
      </c>
      <c r="G27" t="s">
        <v>96</v>
      </c>
      <c r="I27" s="15" t="str">
        <f>'master front end'!C9</f>
        <v>IP68</v>
      </c>
      <c r="M27" s="10" t="s">
        <v>97</v>
      </c>
      <c r="N27" s="29" t="s">
        <v>59</v>
      </c>
      <c r="O27" t="s">
        <v>40</v>
      </c>
      <c r="P27" t="s">
        <v>29</v>
      </c>
      <c r="Q27" t="s">
        <v>34</v>
      </c>
    </row>
    <row r="28" spans="1:17" x14ac:dyDescent="0.2">
      <c r="A28" s="49" t="s">
        <v>0</v>
      </c>
      <c r="B28" s="1" t="s">
        <v>1</v>
      </c>
      <c r="C28" t="s">
        <v>17</v>
      </c>
      <c r="D28" t="s">
        <v>17</v>
      </c>
      <c r="I28" s="10">
        <f>HLOOKUP($I$27,$C$27:$G$45,2,0)</f>
        <v>0</v>
      </c>
      <c r="J28" t="str">
        <f>IF(I28&gt;0,"yes","no")</f>
        <v>no</v>
      </c>
      <c r="M28" t="s">
        <v>14</v>
      </c>
      <c r="N28" s="29" t="s">
        <v>56</v>
      </c>
      <c r="O28" t="s">
        <v>81</v>
      </c>
      <c r="P28" t="s">
        <v>30</v>
      </c>
      <c r="Q28" t="s">
        <v>35</v>
      </c>
    </row>
    <row r="29" spans="1:17" x14ac:dyDescent="0.2">
      <c r="A29" s="49"/>
      <c r="B29" s="1" t="s">
        <v>2</v>
      </c>
      <c r="C29" t="s">
        <v>17</v>
      </c>
      <c r="D29" t="s">
        <v>17</v>
      </c>
      <c r="I29" s="10">
        <f>HLOOKUP($I$27,$C$27:$G$45,3,0)</f>
        <v>0</v>
      </c>
      <c r="J29" t="str">
        <f t="shared" ref="J29:J45" si="2">IF(I29&gt;0,"yes","no")</f>
        <v>no</v>
      </c>
      <c r="M29" t="s">
        <v>15</v>
      </c>
      <c r="N29" s="29" t="s">
        <v>57</v>
      </c>
      <c r="O29" t="s">
        <v>28</v>
      </c>
      <c r="P29" t="s">
        <v>31</v>
      </c>
      <c r="Q29" t="s">
        <v>36</v>
      </c>
    </row>
    <row r="30" spans="1:17" x14ac:dyDescent="0.2">
      <c r="A30" s="49"/>
      <c r="B30" s="1" t="s">
        <v>3</v>
      </c>
      <c r="C30" t="s">
        <v>17</v>
      </c>
      <c r="D30" t="s">
        <v>17</v>
      </c>
      <c r="E30" t="s">
        <v>17</v>
      </c>
      <c r="F30" t="s">
        <v>17</v>
      </c>
      <c r="I30" s="10">
        <f>HLOOKUP($I$27,$C$27:$G$45,4,0)</f>
        <v>0</v>
      </c>
      <c r="J30" t="str">
        <f t="shared" si="2"/>
        <v>no</v>
      </c>
      <c r="M30" t="s">
        <v>16</v>
      </c>
      <c r="N30" s="29" t="s">
        <v>58</v>
      </c>
      <c r="O30" t="s">
        <v>82</v>
      </c>
      <c r="P30" t="s">
        <v>32</v>
      </c>
      <c r="Q30" t="s">
        <v>37</v>
      </c>
    </row>
    <row r="31" spans="1:17" x14ac:dyDescent="0.2">
      <c r="A31" s="47" t="s">
        <v>4</v>
      </c>
      <c r="B31" s="2" t="s">
        <v>5</v>
      </c>
      <c r="C31" t="s">
        <v>17</v>
      </c>
      <c r="D31" t="s">
        <v>17</v>
      </c>
      <c r="E31" t="s">
        <v>17</v>
      </c>
      <c r="F31" t="s">
        <v>17</v>
      </c>
      <c r="I31" s="10">
        <f>HLOOKUP($I$27,$C$27:$G$45,5,0)</f>
        <v>0</v>
      </c>
      <c r="J31" t="str">
        <f t="shared" si="2"/>
        <v>no</v>
      </c>
      <c r="M31" t="s">
        <v>96</v>
      </c>
      <c r="N31" s="29" t="s">
        <v>55</v>
      </c>
      <c r="O31" t="s">
        <v>83</v>
      </c>
      <c r="Q31" t="s">
        <v>38</v>
      </c>
    </row>
    <row r="32" spans="1:17" x14ac:dyDescent="0.2">
      <c r="A32" s="47"/>
      <c r="B32" s="2" t="s">
        <v>6</v>
      </c>
      <c r="C32" t="s">
        <v>17</v>
      </c>
      <c r="D32" t="s">
        <v>17</v>
      </c>
      <c r="E32" t="s">
        <v>17</v>
      </c>
      <c r="I32" s="10">
        <f>HLOOKUP($I$27,$C$27:$G$45,6,0)</f>
        <v>0</v>
      </c>
      <c r="J32" t="str">
        <f t="shared" si="2"/>
        <v>no</v>
      </c>
      <c r="N32" s="29" t="s">
        <v>80</v>
      </c>
      <c r="O32" t="s">
        <v>42</v>
      </c>
    </row>
    <row r="33" spans="1:15" x14ac:dyDescent="0.2">
      <c r="A33" s="47"/>
      <c r="B33" s="2" t="s">
        <v>7</v>
      </c>
      <c r="C33" s="36" t="s">
        <v>17</v>
      </c>
      <c r="D33" s="36" t="s">
        <v>17</v>
      </c>
      <c r="E33" s="36" t="s">
        <v>17</v>
      </c>
      <c r="F33" s="36"/>
      <c r="G33" s="36"/>
      <c r="I33" s="10">
        <f>HLOOKUP($I$27,$C$27:$G$45,7,0)</f>
        <v>0</v>
      </c>
      <c r="J33" t="str">
        <f t="shared" si="2"/>
        <v>no</v>
      </c>
      <c r="N33" s="29" t="s">
        <v>78</v>
      </c>
      <c r="O33" t="s">
        <v>84</v>
      </c>
    </row>
    <row r="34" spans="1:15" x14ac:dyDescent="0.2">
      <c r="A34" s="48" t="s">
        <v>8</v>
      </c>
      <c r="B34" s="3" t="s">
        <v>9</v>
      </c>
      <c r="C34" t="s">
        <v>17</v>
      </c>
      <c r="D34" t="s">
        <v>17</v>
      </c>
      <c r="E34" t="s">
        <v>17</v>
      </c>
      <c r="F34" t="s">
        <v>17</v>
      </c>
      <c r="I34" s="10">
        <f>HLOOKUP($I$27,$C$27:$G$45,8,0)</f>
        <v>0</v>
      </c>
      <c r="J34" t="str">
        <f t="shared" si="2"/>
        <v>no</v>
      </c>
      <c r="N34" s="29" t="s">
        <v>41</v>
      </c>
      <c r="O34" t="s">
        <v>85</v>
      </c>
    </row>
    <row r="35" spans="1:15" x14ac:dyDescent="0.2">
      <c r="A35" s="48"/>
      <c r="B35" s="3" t="s">
        <v>10</v>
      </c>
      <c r="C35" t="s">
        <v>17</v>
      </c>
      <c r="D35" t="s">
        <v>17</v>
      </c>
      <c r="E35" t="s">
        <v>17</v>
      </c>
      <c r="F35" t="s">
        <v>17</v>
      </c>
      <c r="I35" s="10">
        <f>HLOOKUP($I$27,$C$27:$G$45,9,0)</f>
        <v>0</v>
      </c>
      <c r="J35" t="str">
        <f t="shared" si="2"/>
        <v>no</v>
      </c>
      <c r="N35" s="29" t="s">
        <v>79</v>
      </c>
    </row>
    <row r="36" spans="1:15" x14ac:dyDescent="0.2">
      <c r="A36" s="48"/>
      <c r="B36" s="3" t="s">
        <v>11</v>
      </c>
      <c r="C36" t="s">
        <v>17</v>
      </c>
      <c r="D36" t="s">
        <v>17</v>
      </c>
      <c r="E36" t="s">
        <v>17</v>
      </c>
      <c r="F36" t="s">
        <v>17</v>
      </c>
      <c r="I36" s="10">
        <f>HLOOKUP($I$27,$C$27:$G$45,10,0)</f>
        <v>0</v>
      </c>
      <c r="J36" t="str">
        <f t="shared" si="2"/>
        <v>no</v>
      </c>
    </row>
    <row r="37" spans="1:15" x14ac:dyDescent="0.2">
      <c r="A37" s="63" t="s">
        <v>95</v>
      </c>
      <c r="B37" s="28" t="s">
        <v>69</v>
      </c>
      <c r="C37" t="s">
        <v>17</v>
      </c>
      <c r="D37" t="s">
        <v>17</v>
      </c>
      <c r="E37" t="s">
        <v>17</v>
      </c>
      <c r="F37" t="s">
        <v>17</v>
      </c>
      <c r="G37" t="s">
        <v>17</v>
      </c>
      <c r="I37" s="10" t="str">
        <f>HLOOKUP($I$27,$C$27:$G$45,11,0)</f>
        <v>x</v>
      </c>
      <c r="J37" t="str">
        <f t="shared" si="2"/>
        <v>yes</v>
      </c>
    </row>
    <row r="38" spans="1:15" x14ac:dyDescent="0.2">
      <c r="A38" s="63"/>
      <c r="B38" s="28" t="s">
        <v>70</v>
      </c>
      <c r="C38" t="s">
        <v>17</v>
      </c>
      <c r="D38" t="s">
        <v>17</v>
      </c>
      <c r="E38" t="s">
        <v>17</v>
      </c>
      <c r="F38" t="s">
        <v>17</v>
      </c>
      <c r="G38" t="s">
        <v>17</v>
      </c>
      <c r="I38" s="10" t="str">
        <f>HLOOKUP($I$27,$C$27:$G$45,12,0)</f>
        <v>x</v>
      </c>
      <c r="J38" t="str">
        <f t="shared" si="2"/>
        <v>yes</v>
      </c>
    </row>
    <row r="39" spans="1:15" x14ac:dyDescent="0.2">
      <c r="A39" s="63"/>
      <c r="B39" s="28" t="s">
        <v>86</v>
      </c>
      <c r="C39" t="s">
        <v>17</v>
      </c>
      <c r="D39" t="s">
        <v>17</v>
      </c>
      <c r="E39" t="s">
        <v>17</v>
      </c>
      <c r="F39" t="s">
        <v>17</v>
      </c>
      <c r="G39" t="s">
        <v>17</v>
      </c>
      <c r="I39" s="10" t="str">
        <f>HLOOKUP($I$27,$C$27:$G$45,13,0)</f>
        <v>x</v>
      </c>
      <c r="J39" t="str">
        <f t="shared" si="2"/>
        <v>yes</v>
      </c>
    </row>
    <row r="40" spans="1:15" x14ac:dyDescent="0.2">
      <c r="A40" s="63"/>
      <c r="B40" s="28" t="s">
        <v>71</v>
      </c>
      <c r="C40" t="s">
        <v>17</v>
      </c>
      <c r="D40" t="s">
        <v>17</v>
      </c>
      <c r="E40" t="s">
        <v>17</v>
      </c>
      <c r="F40" t="s">
        <v>17</v>
      </c>
      <c r="G40" t="s">
        <v>17</v>
      </c>
      <c r="I40" s="10" t="str">
        <f>HLOOKUP($I$27,$C$27:$G$45,14,0)</f>
        <v>x</v>
      </c>
      <c r="J40" t="str">
        <f t="shared" si="2"/>
        <v>yes</v>
      </c>
    </row>
    <row r="41" spans="1:15" x14ac:dyDescent="0.2">
      <c r="A41" s="63"/>
      <c r="B41" s="28" t="s">
        <v>72</v>
      </c>
      <c r="C41" t="s">
        <v>17</v>
      </c>
      <c r="D41" t="s">
        <v>17</v>
      </c>
      <c r="E41" t="s">
        <v>17</v>
      </c>
      <c r="F41" t="s">
        <v>17</v>
      </c>
      <c r="G41" t="s">
        <v>17</v>
      </c>
      <c r="I41" s="10" t="str">
        <f>HLOOKUP($I$27,$C$27:$G$45,15,0)</f>
        <v>x</v>
      </c>
      <c r="J41" t="str">
        <f t="shared" si="2"/>
        <v>yes</v>
      </c>
    </row>
    <row r="42" spans="1:15" x14ac:dyDescent="0.2">
      <c r="A42" s="63"/>
      <c r="B42" s="28" t="s">
        <v>73</v>
      </c>
      <c r="C42" t="s">
        <v>17</v>
      </c>
      <c r="D42" t="s">
        <v>17</v>
      </c>
      <c r="E42" t="s">
        <v>17</v>
      </c>
      <c r="F42" t="s">
        <v>17</v>
      </c>
      <c r="G42" t="s">
        <v>17</v>
      </c>
      <c r="I42" s="10" t="str">
        <f>HLOOKUP($I$27,$C$27:$G$45,16,0)</f>
        <v>x</v>
      </c>
      <c r="J42" t="str">
        <f t="shared" si="2"/>
        <v>yes</v>
      </c>
    </row>
    <row r="43" spans="1:15" x14ac:dyDescent="0.2">
      <c r="A43" s="63"/>
      <c r="B43" s="28" t="s">
        <v>74</v>
      </c>
      <c r="C43" t="s">
        <v>17</v>
      </c>
      <c r="D43" t="s">
        <v>17</v>
      </c>
      <c r="E43" t="s">
        <v>17</v>
      </c>
      <c r="F43" t="s">
        <v>17</v>
      </c>
      <c r="G43" t="s">
        <v>17</v>
      </c>
      <c r="I43" s="10" t="str">
        <f>HLOOKUP($I$27,$C$27:$G$45,17,0)</f>
        <v>x</v>
      </c>
      <c r="J43" t="str">
        <f t="shared" si="2"/>
        <v>yes</v>
      </c>
    </row>
    <row r="44" spans="1:15" x14ac:dyDescent="0.2">
      <c r="A44" s="63"/>
      <c r="B44" s="28" t="s">
        <v>75</v>
      </c>
      <c r="C44" t="s">
        <v>17</v>
      </c>
      <c r="D44" t="s">
        <v>17</v>
      </c>
      <c r="E44" t="s">
        <v>17</v>
      </c>
      <c r="F44" t="s">
        <v>17</v>
      </c>
      <c r="G44" t="s">
        <v>17</v>
      </c>
      <c r="I44" s="10" t="str">
        <f>HLOOKUP($I$27,$C$27:$G$45,18,0)</f>
        <v>x</v>
      </c>
      <c r="J44" t="str">
        <f t="shared" si="2"/>
        <v>yes</v>
      </c>
    </row>
    <row r="45" spans="1:15" x14ac:dyDescent="0.2">
      <c r="A45" s="63"/>
      <c r="B45" s="28" t="s">
        <v>76</v>
      </c>
      <c r="C45" t="s">
        <v>17</v>
      </c>
      <c r="D45" t="s">
        <v>17</v>
      </c>
      <c r="E45" t="s">
        <v>17</v>
      </c>
      <c r="F45" t="s">
        <v>17</v>
      </c>
      <c r="G45" t="s">
        <v>17</v>
      </c>
      <c r="I45" s="10" t="str">
        <f>HLOOKUP($I$27,$C$27:$G$45,19,0)</f>
        <v>x</v>
      </c>
      <c r="J45" t="str">
        <f t="shared" si="2"/>
        <v>yes</v>
      </c>
    </row>
    <row r="47" spans="1:15" ht="18" x14ac:dyDescent="0.25">
      <c r="A47" s="62" t="s">
        <v>20</v>
      </c>
      <c r="B47" s="62"/>
      <c r="C47" s="62"/>
      <c r="D47" s="62"/>
      <c r="E47" s="62"/>
      <c r="F47" s="62"/>
      <c r="G47" s="62"/>
    </row>
    <row r="48" spans="1:15" ht="13.5" thickBot="1" x14ac:dyDescent="0.25">
      <c r="C48" s="10"/>
      <c r="E48" s="10"/>
      <c r="M48" t="s">
        <v>53</v>
      </c>
      <c r="N48" t="s">
        <v>60</v>
      </c>
    </row>
    <row r="49" spans="1:14" ht="13.5" thickBot="1" x14ac:dyDescent="0.25">
      <c r="C49" t="s">
        <v>59</v>
      </c>
      <c r="D49" s="10" t="s">
        <v>56</v>
      </c>
      <c r="E49" t="s">
        <v>57</v>
      </c>
      <c r="F49" s="10" t="s">
        <v>58</v>
      </c>
      <c r="G49" s="10" t="s">
        <v>55</v>
      </c>
      <c r="H49" t="s">
        <v>80</v>
      </c>
      <c r="I49" t="s">
        <v>78</v>
      </c>
      <c r="J49" s="10" t="s">
        <v>41</v>
      </c>
      <c r="K49" t="s">
        <v>79</v>
      </c>
      <c r="M49" s="15" t="str">
        <f>'master front end'!C11</f>
        <v>up to 150V</v>
      </c>
    </row>
    <row r="50" spans="1:14" x14ac:dyDescent="0.2">
      <c r="A50" s="49" t="s">
        <v>0</v>
      </c>
      <c r="B50" s="1" t="s">
        <v>1</v>
      </c>
      <c r="C50" t="s">
        <v>17</v>
      </c>
      <c r="D50" t="s">
        <v>17</v>
      </c>
      <c r="E50" t="s">
        <v>17</v>
      </c>
      <c r="F50" t="s">
        <v>17</v>
      </c>
      <c r="M50" s="10" t="str">
        <f>HLOOKUP($M$49,$C$49:$K$67,2,0)</f>
        <v>x</v>
      </c>
      <c r="N50" t="str">
        <f>IF(M50&gt;0,"yes","no")</f>
        <v>yes</v>
      </c>
    </row>
    <row r="51" spans="1:14" x14ac:dyDescent="0.2">
      <c r="A51" s="49"/>
      <c r="B51" s="1" t="s">
        <v>2</v>
      </c>
      <c r="C51" t="s">
        <v>17</v>
      </c>
      <c r="D51" t="s">
        <v>17</v>
      </c>
      <c r="E51" t="s">
        <v>17</v>
      </c>
      <c r="F51" t="s">
        <v>17</v>
      </c>
      <c r="M51" s="10" t="str">
        <f>HLOOKUP($M$49,$C$49:$K$67,3,0)</f>
        <v>x</v>
      </c>
      <c r="N51" t="str">
        <f t="shared" ref="N51:N66" si="3">IF(M51&gt;0,"yes","no")</f>
        <v>yes</v>
      </c>
    </row>
    <row r="52" spans="1:14" x14ac:dyDescent="0.2">
      <c r="A52" s="49"/>
      <c r="B52" s="1" t="s">
        <v>3</v>
      </c>
      <c r="C52" t="s">
        <v>17</v>
      </c>
      <c r="D52" t="s">
        <v>17</v>
      </c>
      <c r="E52" t="s">
        <v>17</v>
      </c>
      <c r="F52" t="s">
        <v>17</v>
      </c>
      <c r="M52" s="10" t="str">
        <f>HLOOKUP($M$49,$C$49:$K$67,4,0)</f>
        <v>x</v>
      </c>
      <c r="N52" t="str">
        <f t="shared" si="3"/>
        <v>yes</v>
      </c>
    </row>
    <row r="53" spans="1:14" x14ac:dyDescent="0.2">
      <c r="A53" s="47" t="s">
        <v>4</v>
      </c>
      <c r="B53" s="2" t="s">
        <v>5</v>
      </c>
      <c r="C53" t="s">
        <v>17</v>
      </c>
      <c r="D53" t="s">
        <v>17</v>
      </c>
      <c r="E53" t="s">
        <v>17</v>
      </c>
      <c r="F53" t="s">
        <v>17</v>
      </c>
      <c r="G53" t="s">
        <v>17</v>
      </c>
      <c r="M53" s="10" t="str">
        <f>HLOOKUP($M$49,$C$49:$K$67,5,0)</f>
        <v>x</v>
      </c>
      <c r="N53" t="str">
        <f t="shared" si="3"/>
        <v>yes</v>
      </c>
    </row>
    <row r="54" spans="1:14" x14ac:dyDescent="0.2">
      <c r="A54" s="47"/>
      <c r="B54" s="2" t="s">
        <v>6</v>
      </c>
      <c r="C54" t="s">
        <v>17</v>
      </c>
      <c r="D54" t="s">
        <v>17</v>
      </c>
      <c r="E54" t="s">
        <v>17</v>
      </c>
      <c r="F54" t="s">
        <v>17</v>
      </c>
      <c r="G54" t="s">
        <v>17</v>
      </c>
      <c r="H54" t="s">
        <v>17</v>
      </c>
      <c r="I54" t="s">
        <v>17</v>
      </c>
      <c r="J54" t="s">
        <v>17</v>
      </c>
      <c r="M54" s="10" t="str">
        <f>HLOOKUP($M$49,$C$49:$K$67,6,0)</f>
        <v>x</v>
      </c>
      <c r="N54" t="str">
        <f t="shared" si="3"/>
        <v>yes</v>
      </c>
    </row>
    <row r="55" spans="1:14" x14ac:dyDescent="0.2">
      <c r="A55" s="47"/>
      <c r="B55" s="2" t="s">
        <v>7</v>
      </c>
      <c r="C55" s="36" t="s">
        <v>17</v>
      </c>
      <c r="D55" s="36" t="s">
        <v>17</v>
      </c>
      <c r="E55" s="36" t="s">
        <v>17</v>
      </c>
      <c r="F55" s="36" t="s">
        <v>17</v>
      </c>
      <c r="G55" s="36" t="s">
        <v>17</v>
      </c>
      <c r="H55" s="36" t="s">
        <v>17</v>
      </c>
      <c r="I55" s="36"/>
      <c r="J55" s="36"/>
      <c r="K55" s="36"/>
      <c r="M55" s="10" t="str">
        <f>HLOOKUP($M$49,$C$49:$K$67,7,0)</f>
        <v>x</v>
      </c>
      <c r="N55" t="str">
        <f t="shared" si="3"/>
        <v>yes</v>
      </c>
    </row>
    <row r="56" spans="1:14" x14ac:dyDescent="0.2">
      <c r="A56" s="48" t="s">
        <v>8</v>
      </c>
      <c r="B56" s="3" t="s">
        <v>9</v>
      </c>
      <c r="C56" t="s">
        <v>17</v>
      </c>
      <c r="D56" t="s">
        <v>17</v>
      </c>
      <c r="M56" s="10" t="str">
        <f>HLOOKUP($M$49,$C$49:$K$67,8,0)</f>
        <v>x</v>
      </c>
      <c r="N56" t="str">
        <f t="shared" si="3"/>
        <v>yes</v>
      </c>
    </row>
    <row r="57" spans="1:14" x14ac:dyDescent="0.2">
      <c r="A57" s="48"/>
      <c r="B57" s="3" t="s">
        <v>10</v>
      </c>
      <c r="C57" t="s">
        <v>17</v>
      </c>
      <c r="D57" t="s">
        <v>17</v>
      </c>
      <c r="E57" t="s">
        <v>17</v>
      </c>
      <c r="F57" t="s">
        <v>17</v>
      </c>
      <c r="G57" t="s">
        <v>17</v>
      </c>
      <c r="H57" t="s">
        <v>17</v>
      </c>
      <c r="M57" s="10" t="str">
        <f>HLOOKUP($M$49,$C$49:$K$67,9,0)</f>
        <v>x</v>
      </c>
      <c r="N57" t="str">
        <f t="shared" si="3"/>
        <v>yes</v>
      </c>
    </row>
    <row r="58" spans="1:14" x14ac:dyDescent="0.2">
      <c r="A58" s="48"/>
      <c r="B58" s="3" t="s">
        <v>11</v>
      </c>
      <c r="C58" t="s">
        <v>17</v>
      </c>
      <c r="D58" t="s">
        <v>17</v>
      </c>
      <c r="E58" t="s">
        <v>17</v>
      </c>
      <c r="F58" t="s">
        <v>17</v>
      </c>
      <c r="G58" t="s">
        <v>17</v>
      </c>
      <c r="H58" t="s">
        <v>17</v>
      </c>
      <c r="M58" s="10" t="str">
        <f>HLOOKUP($M$49,$C$49:$K$67,10,0)</f>
        <v>x</v>
      </c>
      <c r="N58" t="str">
        <f t="shared" si="3"/>
        <v>yes</v>
      </c>
    </row>
    <row r="59" spans="1:14" x14ac:dyDescent="0.2">
      <c r="A59" s="63" t="s">
        <v>95</v>
      </c>
      <c r="B59" s="28" t="s">
        <v>69</v>
      </c>
      <c r="C59" t="s">
        <v>17</v>
      </c>
      <c r="D59" t="s">
        <v>17</v>
      </c>
      <c r="E59" t="s">
        <v>17</v>
      </c>
      <c r="M59" s="10" t="str">
        <f>HLOOKUP($M$49,$C$49:$K$67,11,0)</f>
        <v>x</v>
      </c>
      <c r="N59" t="str">
        <f t="shared" si="3"/>
        <v>yes</v>
      </c>
    </row>
    <row r="60" spans="1:14" x14ac:dyDescent="0.2">
      <c r="A60" s="63"/>
      <c r="B60" s="28" t="s">
        <v>70</v>
      </c>
      <c r="C60" t="s">
        <v>17</v>
      </c>
      <c r="D60" t="s">
        <v>17</v>
      </c>
      <c r="E60" t="s">
        <v>17</v>
      </c>
      <c r="M60" s="10" t="str">
        <f>HLOOKUP($M$49,$C$49:$K$67,12,0)</f>
        <v>x</v>
      </c>
      <c r="N60" t="str">
        <f t="shared" si="3"/>
        <v>yes</v>
      </c>
    </row>
    <row r="61" spans="1:14" x14ac:dyDescent="0.2">
      <c r="A61" s="63"/>
      <c r="B61" s="28" t="s">
        <v>86</v>
      </c>
      <c r="C61" t="s">
        <v>17</v>
      </c>
      <c r="D61" t="s">
        <v>17</v>
      </c>
      <c r="E61" t="s">
        <v>17</v>
      </c>
      <c r="F61" t="s">
        <v>17</v>
      </c>
      <c r="G61" t="s">
        <v>17</v>
      </c>
      <c r="H61" t="s">
        <v>17</v>
      </c>
      <c r="M61" s="10" t="str">
        <f>HLOOKUP($M$49,$C$49:$K$67,13,0)</f>
        <v>x</v>
      </c>
      <c r="N61" t="str">
        <f t="shared" si="3"/>
        <v>yes</v>
      </c>
    </row>
    <row r="62" spans="1:14" x14ac:dyDescent="0.2">
      <c r="A62" s="63"/>
      <c r="B62" s="28" t="s">
        <v>71</v>
      </c>
      <c r="C62" t="s">
        <v>17</v>
      </c>
      <c r="D62" t="s">
        <v>17</v>
      </c>
      <c r="E62" t="s">
        <v>17</v>
      </c>
      <c r="F62" t="s">
        <v>17</v>
      </c>
      <c r="G62" t="s">
        <v>17</v>
      </c>
      <c r="H62" t="s">
        <v>17</v>
      </c>
      <c r="M62" s="10" t="str">
        <f>HLOOKUP($M$49,$C$49:$K$67,14,0)</f>
        <v>x</v>
      </c>
      <c r="N62" t="str">
        <f t="shared" si="3"/>
        <v>yes</v>
      </c>
    </row>
    <row r="63" spans="1:14" x14ac:dyDescent="0.2">
      <c r="A63" s="63"/>
      <c r="B63" s="28" t="s">
        <v>72</v>
      </c>
      <c r="C63" t="s">
        <v>17</v>
      </c>
      <c r="D63" t="s">
        <v>17</v>
      </c>
      <c r="E63" t="s">
        <v>17</v>
      </c>
      <c r="F63" t="s">
        <v>17</v>
      </c>
      <c r="G63" t="s">
        <v>17</v>
      </c>
      <c r="H63" t="s">
        <v>17</v>
      </c>
      <c r="M63" s="10" t="str">
        <f>HLOOKUP($M$49,$C$49:$K$67,15,0)</f>
        <v>x</v>
      </c>
      <c r="N63" t="str">
        <f t="shared" si="3"/>
        <v>yes</v>
      </c>
    </row>
    <row r="64" spans="1:14" x14ac:dyDescent="0.2">
      <c r="A64" s="63"/>
      <c r="B64" s="28" t="s">
        <v>73</v>
      </c>
      <c r="C64" t="s">
        <v>17</v>
      </c>
      <c r="D64" t="s">
        <v>17</v>
      </c>
      <c r="E64" t="s">
        <v>17</v>
      </c>
      <c r="F64" t="s">
        <v>17</v>
      </c>
      <c r="G64" t="s">
        <v>17</v>
      </c>
      <c r="H64" t="s">
        <v>17</v>
      </c>
      <c r="M64" s="10" t="str">
        <f>HLOOKUP($M$49,$C$49:$K$67,16,0)</f>
        <v>x</v>
      </c>
      <c r="N64" t="str">
        <f t="shared" si="3"/>
        <v>yes</v>
      </c>
    </row>
    <row r="65" spans="1:14" x14ac:dyDescent="0.2">
      <c r="A65" s="63"/>
      <c r="B65" s="28" t="s">
        <v>74</v>
      </c>
      <c r="C65" t="s">
        <v>17</v>
      </c>
      <c r="D65" t="s">
        <v>17</v>
      </c>
      <c r="E65" t="s">
        <v>17</v>
      </c>
      <c r="F65" t="s">
        <v>17</v>
      </c>
      <c r="G65" t="s">
        <v>17</v>
      </c>
      <c r="H65" t="s">
        <v>17</v>
      </c>
      <c r="M65" s="10" t="str">
        <f>HLOOKUP($M$49,$C$49:$K$67,17,0)</f>
        <v>x</v>
      </c>
      <c r="N65" t="str">
        <f t="shared" si="3"/>
        <v>yes</v>
      </c>
    </row>
    <row r="66" spans="1:14" x14ac:dyDescent="0.2">
      <c r="A66" s="63"/>
      <c r="B66" s="28" t="s">
        <v>75</v>
      </c>
      <c r="C66" t="s">
        <v>17</v>
      </c>
      <c r="D66" t="s">
        <v>17</v>
      </c>
      <c r="E66" t="s">
        <v>17</v>
      </c>
      <c r="F66" t="s">
        <v>17</v>
      </c>
      <c r="G66" t="s">
        <v>17</v>
      </c>
      <c r="H66" t="s">
        <v>17</v>
      </c>
      <c r="I66" t="s">
        <v>17</v>
      </c>
      <c r="M66" s="10" t="str">
        <f>HLOOKUP($M$49,$C$49:$K$67,18,0)</f>
        <v>x</v>
      </c>
      <c r="N66" t="str">
        <f t="shared" si="3"/>
        <v>yes</v>
      </c>
    </row>
    <row r="67" spans="1:14" x14ac:dyDescent="0.2">
      <c r="A67" s="63"/>
      <c r="B67" s="28" t="s">
        <v>76</v>
      </c>
      <c r="C67" t="s">
        <v>17</v>
      </c>
      <c r="D67" t="s">
        <v>17</v>
      </c>
      <c r="E67" t="s">
        <v>17</v>
      </c>
      <c r="F67" t="s">
        <v>17</v>
      </c>
      <c r="G67" t="s">
        <v>17</v>
      </c>
      <c r="H67" t="s">
        <v>17</v>
      </c>
      <c r="I67" t="s">
        <v>17</v>
      </c>
      <c r="J67" t="s">
        <v>17</v>
      </c>
      <c r="K67" t="s">
        <v>17</v>
      </c>
      <c r="M67" s="10" t="str">
        <f>HLOOKUP($M$49,$C$49:$K$67,19,0)</f>
        <v>x</v>
      </c>
      <c r="N67" t="str">
        <f>IF(M67&gt;0,"yes","no")</f>
        <v>yes</v>
      </c>
    </row>
    <row r="70" spans="1:14" ht="18" x14ac:dyDescent="0.25">
      <c r="A70" s="62" t="s">
        <v>27</v>
      </c>
      <c r="B70" s="62"/>
      <c r="C70" s="62"/>
      <c r="D70" s="62"/>
      <c r="E70" s="62"/>
      <c r="F70" s="62"/>
      <c r="G70" s="62"/>
    </row>
    <row r="71" spans="1:14" ht="13.5" thickBot="1" x14ac:dyDescent="0.25">
      <c r="C71" s="10"/>
      <c r="E71" s="10"/>
      <c r="L71" t="s">
        <v>53</v>
      </c>
      <c r="M71" t="s">
        <v>60</v>
      </c>
    </row>
    <row r="72" spans="1:14" ht="13.5" thickBot="1" x14ac:dyDescent="0.25">
      <c r="C72" t="s">
        <v>40</v>
      </c>
      <c r="D72" t="s">
        <v>81</v>
      </c>
      <c r="E72" t="s">
        <v>28</v>
      </c>
      <c r="F72" t="s">
        <v>82</v>
      </c>
      <c r="G72" t="s">
        <v>83</v>
      </c>
      <c r="H72" t="s">
        <v>42</v>
      </c>
      <c r="I72" t="s">
        <v>84</v>
      </c>
      <c r="J72" t="s">
        <v>85</v>
      </c>
      <c r="L72" s="15" t="str">
        <f>'master front end'!F7</f>
        <v>up to 5A</v>
      </c>
    </row>
    <row r="73" spans="1:14" x14ac:dyDescent="0.2">
      <c r="A73" s="49" t="s">
        <v>0</v>
      </c>
      <c r="B73" s="1" t="s">
        <v>1</v>
      </c>
      <c r="C73" s="10" t="s">
        <v>17</v>
      </c>
      <c r="D73" s="10"/>
      <c r="E73" s="10"/>
      <c r="F73" s="10"/>
      <c r="G73" s="10"/>
      <c r="H73" s="10"/>
      <c r="I73" s="10"/>
      <c r="J73" s="10"/>
      <c r="L73" t="str">
        <f>HLOOKUP($L$72,$C$72:$J$90,2,0)</f>
        <v>x</v>
      </c>
      <c r="M73" t="str">
        <f>IF(L73&gt;0,"yes","no")</f>
        <v>yes</v>
      </c>
    </row>
    <row r="74" spans="1:14" x14ac:dyDescent="0.2">
      <c r="A74" s="49"/>
      <c r="B74" s="1" t="s">
        <v>2</v>
      </c>
      <c r="C74" s="10" t="s">
        <v>17</v>
      </c>
      <c r="D74" s="10"/>
      <c r="E74" s="10"/>
      <c r="F74" s="10"/>
      <c r="G74" s="10"/>
      <c r="H74" s="10"/>
      <c r="I74" s="10"/>
      <c r="J74" s="10"/>
      <c r="L74" t="str">
        <f>HLOOKUP($L$72,$C$72:$J$90,3,0)</f>
        <v>x</v>
      </c>
      <c r="M74" t="str">
        <f t="shared" ref="M74:M89" si="4">IF(L74&gt;0,"yes","no")</f>
        <v>yes</v>
      </c>
    </row>
    <row r="75" spans="1:14" x14ac:dyDescent="0.2">
      <c r="A75" s="49"/>
      <c r="B75" s="1" t="s">
        <v>3</v>
      </c>
      <c r="C75" s="10" t="s">
        <v>17</v>
      </c>
      <c r="D75" s="10"/>
      <c r="E75" s="10"/>
      <c r="F75" s="10"/>
      <c r="G75" s="10"/>
      <c r="H75" s="10"/>
      <c r="I75" s="10"/>
      <c r="J75" s="10"/>
      <c r="L75" t="str">
        <f>HLOOKUP($L$72,$C$72:$J$90,4,0)</f>
        <v>x</v>
      </c>
      <c r="M75" t="str">
        <f t="shared" si="4"/>
        <v>yes</v>
      </c>
    </row>
    <row r="76" spans="1:14" x14ac:dyDescent="0.2">
      <c r="A76" s="47" t="s">
        <v>4</v>
      </c>
      <c r="B76" s="2" t="s">
        <v>5</v>
      </c>
      <c r="C76" s="10" t="s">
        <v>17</v>
      </c>
      <c r="D76" s="10" t="s">
        <v>17</v>
      </c>
      <c r="E76" s="10" t="s">
        <v>17</v>
      </c>
      <c r="F76" s="10"/>
      <c r="G76" s="10"/>
      <c r="H76" s="10"/>
      <c r="I76" s="10"/>
      <c r="J76" s="10"/>
      <c r="L76" t="str">
        <f>HLOOKUP($L$72,$C$72:$J$90,5,0)</f>
        <v>x</v>
      </c>
      <c r="M76" t="str">
        <f t="shared" si="4"/>
        <v>yes</v>
      </c>
    </row>
    <row r="77" spans="1:14" x14ac:dyDescent="0.2">
      <c r="A77" s="47"/>
      <c r="B77" s="2" t="s">
        <v>6</v>
      </c>
      <c r="C77" s="10" t="s">
        <v>17</v>
      </c>
      <c r="D77" s="10" t="s">
        <v>17</v>
      </c>
      <c r="E77" s="10" t="s">
        <v>17</v>
      </c>
      <c r="F77" s="10" t="s">
        <v>17</v>
      </c>
      <c r="G77" s="10" t="s">
        <v>17</v>
      </c>
      <c r="H77" s="10" t="s">
        <v>17</v>
      </c>
      <c r="I77" s="10"/>
      <c r="J77" s="10"/>
      <c r="L77" t="str">
        <f>HLOOKUP($L$72,$C$72:$J$90,6,0)</f>
        <v>x</v>
      </c>
      <c r="M77" t="str">
        <f t="shared" si="4"/>
        <v>yes</v>
      </c>
    </row>
    <row r="78" spans="1:14" x14ac:dyDescent="0.2">
      <c r="A78" s="47"/>
      <c r="B78" s="2" t="s">
        <v>7</v>
      </c>
      <c r="C78" s="37" t="s">
        <v>17</v>
      </c>
      <c r="D78" s="37" t="s">
        <v>17</v>
      </c>
      <c r="E78" s="37" t="s">
        <v>17</v>
      </c>
      <c r="F78" s="37" t="s">
        <v>17</v>
      </c>
      <c r="G78" s="37" t="s">
        <v>17</v>
      </c>
      <c r="H78" s="37" t="s">
        <v>17</v>
      </c>
      <c r="I78" s="37"/>
      <c r="J78" s="37"/>
      <c r="K78" s="36"/>
      <c r="L78" t="str">
        <f>HLOOKUP($L$72,$C$72:$J$90,7,0)</f>
        <v>x</v>
      </c>
      <c r="M78" t="str">
        <f t="shared" si="4"/>
        <v>yes</v>
      </c>
    </row>
    <row r="79" spans="1:14" x14ac:dyDescent="0.2">
      <c r="A79" s="48" t="s">
        <v>8</v>
      </c>
      <c r="B79" s="3" t="s">
        <v>9</v>
      </c>
      <c r="C79" s="10" t="s">
        <v>17</v>
      </c>
      <c r="D79" s="10" t="s">
        <v>17</v>
      </c>
      <c r="E79" s="10"/>
      <c r="F79" s="10"/>
      <c r="G79" s="10"/>
      <c r="H79" s="10"/>
      <c r="I79" s="10"/>
      <c r="J79" s="10"/>
      <c r="L79" t="str">
        <f>HLOOKUP($L$72,$C$72:$J$90,8,0)</f>
        <v>x</v>
      </c>
      <c r="M79" t="str">
        <f t="shared" si="4"/>
        <v>yes</v>
      </c>
    </row>
    <row r="80" spans="1:14" x14ac:dyDescent="0.2">
      <c r="A80" s="48"/>
      <c r="B80" s="3" t="s">
        <v>10</v>
      </c>
      <c r="C80" s="10" t="s">
        <v>17</v>
      </c>
      <c r="D80" s="10" t="s">
        <v>17</v>
      </c>
      <c r="E80" s="10" t="s">
        <v>17</v>
      </c>
      <c r="F80" s="10" t="s">
        <v>17</v>
      </c>
      <c r="G80" s="10"/>
      <c r="H80" s="10"/>
      <c r="I80" s="10"/>
      <c r="J80" s="10"/>
      <c r="L80" t="str">
        <f>HLOOKUP($L$72,$C$72:$J$90,9,0)</f>
        <v>x</v>
      </c>
      <c r="M80" t="str">
        <f t="shared" si="4"/>
        <v>yes</v>
      </c>
    </row>
    <row r="81" spans="1:13" x14ac:dyDescent="0.2">
      <c r="A81" s="48"/>
      <c r="B81" s="3" t="s">
        <v>11</v>
      </c>
      <c r="C81" s="10" t="s">
        <v>17</v>
      </c>
      <c r="D81" s="10" t="s">
        <v>17</v>
      </c>
      <c r="E81" s="10" t="s">
        <v>17</v>
      </c>
      <c r="F81" s="10" t="s">
        <v>17</v>
      </c>
      <c r="G81" s="10" t="s">
        <v>17</v>
      </c>
      <c r="H81" s="10" t="s">
        <v>17</v>
      </c>
      <c r="I81" s="10" t="s">
        <v>17</v>
      </c>
      <c r="J81" s="10"/>
      <c r="L81" t="str">
        <f>HLOOKUP($L$72,$C$72:$J$90,10,0)</f>
        <v>x</v>
      </c>
      <c r="M81" t="str">
        <f t="shared" si="4"/>
        <v>yes</v>
      </c>
    </row>
    <row r="82" spans="1:13" x14ac:dyDescent="0.2">
      <c r="A82" s="63" t="s">
        <v>95</v>
      </c>
      <c r="B82" s="28" t="s">
        <v>69</v>
      </c>
      <c r="C82" s="10" t="s">
        <v>17</v>
      </c>
      <c r="D82" s="10" t="s">
        <v>17</v>
      </c>
      <c r="E82" s="10" t="s">
        <v>17</v>
      </c>
      <c r="F82" s="10"/>
      <c r="G82" s="10"/>
      <c r="H82" s="10"/>
      <c r="I82" s="10"/>
      <c r="J82" s="10"/>
      <c r="L82" t="str">
        <f>HLOOKUP($L$72,$C$72:$J$90,11,0)</f>
        <v>x</v>
      </c>
      <c r="M82" t="str">
        <f t="shared" si="4"/>
        <v>yes</v>
      </c>
    </row>
    <row r="83" spans="1:13" x14ac:dyDescent="0.2">
      <c r="A83" s="63"/>
      <c r="B83" s="28" t="s">
        <v>70</v>
      </c>
      <c r="C83" s="10" t="s">
        <v>17</v>
      </c>
      <c r="D83" s="10" t="s">
        <v>17</v>
      </c>
      <c r="E83" s="10"/>
      <c r="F83" s="10"/>
      <c r="G83" s="10"/>
      <c r="H83" s="10"/>
      <c r="I83" s="10"/>
      <c r="J83" s="10"/>
      <c r="L83" t="str">
        <f>HLOOKUP($L$72,$C$72:$J$90,12,0)</f>
        <v>x</v>
      </c>
      <c r="M83" t="str">
        <f t="shared" si="4"/>
        <v>yes</v>
      </c>
    </row>
    <row r="84" spans="1:13" x14ac:dyDescent="0.2">
      <c r="A84" s="63"/>
      <c r="B84" s="28" t="s">
        <v>86</v>
      </c>
      <c r="C84" s="10" t="s">
        <v>17</v>
      </c>
      <c r="D84" s="10" t="s">
        <v>17</v>
      </c>
      <c r="E84" s="10" t="s">
        <v>17</v>
      </c>
      <c r="F84" s="10" t="s">
        <v>17</v>
      </c>
      <c r="G84" s="10"/>
      <c r="H84" s="10"/>
      <c r="I84" s="10"/>
      <c r="J84" s="10"/>
      <c r="L84" t="str">
        <f>HLOOKUP($L$72,$C$72:$J$90,13,0)</f>
        <v>x</v>
      </c>
      <c r="M84" t="str">
        <f t="shared" si="4"/>
        <v>yes</v>
      </c>
    </row>
    <row r="85" spans="1:13" x14ac:dyDescent="0.2">
      <c r="A85" s="63"/>
      <c r="B85" s="28" t="s">
        <v>71</v>
      </c>
      <c r="C85" s="10" t="s">
        <v>17</v>
      </c>
      <c r="D85" s="10" t="s">
        <v>17</v>
      </c>
      <c r="E85" s="10" t="s">
        <v>17</v>
      </c>
      <c r="F85" s="10"/>
      <c r="G85" s="10"/>
      <c r="H85" s="10"/>
      <c r="I85" s="10"/>
      <c r="J85" s="10"/>
      <c r="L85" t="str">
        <f>HLOOKUP($L$72,$C$72:$J$90,14,0)</f>
        <v>x</v>
      </c>
      <c r="M85" t="str">
        <f t="shared" si="4"/>
        <v>yes</v>
      </c>
    </row>
    <row r="86" spans="1:13" x14ac:dyDescent="0.2">
      <c r="A86" s="63"/>
      <c r="B86" s="28" t="s">
        <v>72</v>
      </c>
      <c r="C86" s="10" t="s">
        <v>17</v>
      </c>
      <c r="D86" s="10" t="s">
        <v>17</v>
      </c>
      <c r="E86" s="10" t="s">
        <v>17</v>
      </c>
      <c r="F86" s="10"/>
      <c r="G86" s="10"/>
      <c r="H86" s="10"/>
      <c r="I86" s="10"/>
      <c r="J86" s="10"/>
      <c r="L86" t="str">
        <f>HLOOKUP($L$72,$C$72:$J$90,15,0)</f>
        <v>x</v>
      </c>
      <c r="M86" t="str">
        <f t="shared" si="4"/>
        <v>yes</v>
      </c>
    </row>
    <row r="87" spans="1:13" x14ac:dyDescent="0.2">
      <c r="A87" s="63"/>
      <c r="B87" s="28" t="s">
        <v>73</v>
      </c>
      <c r="C87" s="10" t="s">
        <v>17</v>
      </c>
      <c r="D87" s="10" t="s">
        <v>17</v>
      </c>
      <c r="E87" s="10" t="s">
        <v>17</v>
      </c>
      <c r="F87" s="10"/>
      <c r="G87" s="10"/>
      <c r="H87" s="10"/>
      <c r="I87" s="10"/>
      <c r="J87" s="10"/>
      <c r="L87" t="str">
        <f>HLOOKUP($L$72,$C$72:$J$90,16,0)</f>
        <v>x</v>
      </c>
      <c r="M87" t="str">
        <f t="shared" si="4"/>
        <v>yes</v>
      </c>
    </row>
    <row r="88" spans="1:13" x14ac:dyDescent="0.2">
      <c r="A88" s="63"/>
      <c r="B88" s="28" t="s">
        <v>74</v>
      </c>
      <c r="C88" s="10" t="s">
        <v>17</v>
      </c>
      <c r="D88" s="10" t="s">
        <v>17</v>
      </c>
      <c r="E88" s="10" t="s">
        <v>17</v>
      </c>
      <c r="F88" s="10" t="s">
        <v>17</v>
      </c>
      <c r="G88" s="10" t="s">
        <v>17</v>
      </c>
      <c r="H88" s="10" t="s">
        <v>17</v>
      </c>
      <c r="I88" s="10" t="s">
        <v>17</v>
      </c>
      <c r="J88" s="10"/>
      <c r="L88" t="str">
        <f>HLOOKUP($L$72,$C$72:$J$90,17,0)</f>
        <v>x</v>
      </c>
      <c r="M88" t="str">
        <f t="shared" si="4"/>
        <v>yes</v>
      </c>
    </row>
    <row r="89" spans="1:13" x14ac:dyDescent="0.2">
      <c r="A89" s="63"/>
      <c r="B89" s="28" t="s">
        <v>75</v>
      </c>
      <c r="C89" s="10" t="s">
        <v>17</v>
      </c>
      <c r="D89" s="10" t="s">
        <v>17</v>
      </c>
      <c r="E89" s="10" t="s">
        <v>17</v>
      </c>
      <c r="F89" s="10" t="s">
        <v>17</v>
      </c>
      <c r="G89" s="10" t="s">
        <v>17</v>
      </c>
      <c r="H89" s="10"/>
      <c r="I89" s="10"/>
      <c r="J89" s="10"/>
      <c r="L89" t="str">
        <f>HLOOKUP($L$72,$C$72:$J$90,18,0)</f>
        <v>x</v>
      </c>
      <c r="M89" t="str">
        <f t="shared" si="4"/>
        <v>yes</v>
      </c>
    </row>
    <row r="90" spans="1:13" x14ac:dyDescent="0.2">
      <c r="A90" s="63"/>
      <c r="B90" s="28" t="s">
        <v>76</v>
      </c>
      <c r="C90" s="10" t="s">
        <v>17</v>
      </c>
      <c r="D90" s="10" t="s">
        <v>17</v>
      </c>
      <c r="E90" s="10" t="s">
        <v>17</v>
      </c>
      <c r="F90" s="10" t="s">
        <v>17</v>
      </c>
      <c r="G90" s="10" t="s">
        <v>17</v>
      </c>
      <c r="H90" s="10" t="s">
        <v>17</v>
      </c>
      <c r="I90" s="10" t="s">
        <v>17</v>
      </c>
      <c r="J90" s="10" t="s">
        <v>17</v>
      </c>
      <c r="L90" t="str">
        <f>HLOOKUP($L$72,$C$72:$J$90,19,0)</f>
        <v>x</v>
      </c>
      <c r="M90" t="str">
        <f>IF(L90&gt;0,"yes","no")</f>
        <v>yes</v>
      </c>
    </row>
    <row r="93" spans="1:13" ht="18" x14ac:dyDescent="0.25">
      <c r="A93" s="62" t="s">
        <v>22</v>
      </c>
      <c r="B93" s="62"/>
      <c r="C93" s="62"/>
      <c r="D93" s="62"/>
      <c r="E93" s="62"/>
      <c r="F93" s="62"/>
      <c r="G93" s="62"/>
    </row>
    <row r="94" spans="1:13" ht="13.5" thickBot="1" x14ac:dyDescent="0.25">
      <c r="C94" s="10"/>
      <c r="E94" s="10"/>
      <c r="H94" t="s">
        <v>53</v>
      </c>
      <c r="I94" t="s">
        <v>60</v>
      </c>
    </row>
    <row r="95" spans="1:13" ht="13.5" thickBot="1" x14ac:dyDescent="0.25">
      <c r="C95" t="s">
        <v>29</v>
      </c>
      <c r="D95" t="s">
        <v>30</v>
      </c>
      <c r="E95" t="s">
        <v>31</v>
      </c>
      <c r="F95" t="s">
        <v>32</v>
      </c>
      <c r="H95" s="15" t="str">
        <f>'master front end'!F9</f>
        <v>crimping</v>
      </c>
    </row>
    <row r="96" spans="1:13" x14ac:dyDescent="0.2">
      <c r="A96" s="49" t="s">
        <v>0</v>
      </c>
      <c r="B96" s="1" t="s">
        <v>1</v>
      </c>
      <c r="C96" s="10"/>
      <c r="D96" s="10" t="s">
        <v>17</v>
      </c>
      <c r="E96" s="10" t="s">
        <v>17</v>
      </c>
      <c r="F96" s="10"/>
      <c r="G96" s="10"/>
      <c r="H96" s="10" t="str">
        <f>HLOOKUP($H$95,$C$95:$F$113,2,0)</f>
        <v>x</v>
      </c>
      <c r="I96" t="str">
        <f>IF(H96&gt;0,"yes","no")</f>
        <v>yes</v>
      </c>
      <c r="J96" s="10"/>
    </row>
    <row r="97" spans="1:12" x14ac:dyDescent="0.2">
      <c r="A97" s="49"/>
      <c r="B97" s="1" t="s">
        <v>2</v>
      </c>
      <c r="C97" s="10"/>
      <c r="D97" s="10" t="s">
        <v>17</v>
      </c>
      <c r="E97" s="10" t="s">
        <v>17</v>
      </c>
      <c r="F97" s="10"/>
      <c r="G97" s="10"/>
      <c r="H97" s="10" t="str">
        <f>HLOOKUP($H$95,$C$95:$F$113,3,0)</f>
        <v>x</v>
      </c>
      <c r="I97" t="str">
        <f t="shared" ref="I97:I112" si="5">IF(H97&gt;0,"yes","no")</f>
        <v>yes</v>
      </c>
      <c r="J97" s="10"/>
      <c r="K97" s="10"/>
      <c r="L97" s="10"/>
    </row>
    <row r="98" spans="1:12" x14ac:dyDescent="0.2">
      <c r="A98" s="49"/>
      <c r="B98" s="1" t="s">
        <v>3</v>
      </c>
      <c r="C98" s="10"/>
      <c r="D98" s="10" t="s">
        <v>17</v>
      </c>
      <c r="E98" s="10" t="s">
        <v>17</v>
      </c>
      <c r="F98" s="10"/>
      <c r="G98" s="10"/>
      <c r="H98" s="10" t="str">
        <f>HLOOKUP($H$95,$C$95:$F$113,4,0)</f>
        <v>x</v>
      </c>
      <c r="I98" t="str">
        <f t="shared" si="5"/>
        <v>yes</v>
      </c>
      <c r="J98" s="10"/>
      <c r="K98" s="10"/>
      <c r="L98" s="10"/>
    </row>
    <row r="99" spans="1:12" x14ac:dyDescent="0.2">
      <c r="A99" s="47" t="s">
        <v>4</v>
      </c>
      <c r="B99" s="2" t="s">
        <v>5</v>
      </c>
      <c r="C99" s="10" t="s">
        <v>17</v>
      </c>
      <c r="D99" s="10" t="s">
        <v>17</v>
      </c>
      <c r="E99" s="10" t="s">
        <v>17</v>
      </c>
      <c r="F99" s="10"/>
      <c r="G99" s="10"/>
      <c r="H99" s="10" t="str">
        <f>HLOOKUP($H$95,$C$95:$F$113,5,0)</f>
        <v>x</v>
      </c>
      <c r="I99" t="str">
        <f t="shared" si="5"/>
        <v>yes</v>
      </c>
      <c r="J99" s="10"/>
      <c r="K99" s="10"/>
      <c r="L99" s="10"/>
    </row>
    <row r="100" spans="1:12" x14ac:dyDescent="0.2">
      <c r="A100" s="47"/>
      <c r="B100" s="2" t="s">
        <v>6</v>
      </c>
      <c r="C100" s="10" t="s">
        <v>17</v>
      </c>
      <c r="D100" s="10"/>
      <c r="E100" s="10" t="s">
        <v>17</v>
      </c>
      <c r="F100" s="10"/>
      <c r="G100" s="10"/>
      <c r="H100" s="10" t="str">
        <f>HLOOKUP($H$95,$C$95:$F$113,6,0)</f>
        <v>x</v>
      </c>
      <c r="I100" t="str">
        <f t="shared" si="5"/>
        <v>yes</v>
      </c>
      <c r="J100" s="10"/>
      <c r="K100" s="10"/>
      <c r="L100" s="10"/>
    </row>
    <row r="101" spans="1:12" x14ac:dyDescent="0.2">
      <c r="A101" s="47"/>
      <c r="B101" s="2" t="s">
        <v>7</v>
      </c>
      <c r="C101" s="37" t="s">
        <v>17</v>
      </c>
      <c r="D101" s="37"/>
      <c r="E101" s="37"/>
      <c r="F101" s="37"/>
      <c r="G101" s="37"/>
      <c r="H101" s="10">
        <f>HLOOKUP($H$95,$C$95:$F$113,7,0)</f>
        <v>0</v>
      </c>
      <c r="I101" t="str">
        <f t="shared" si="5"/>
        <v>no</v>
      </c>
      <c r="J101" s="10"/>
      <c r="K101" s="10"/>
      <c r="L101" s="10"/>
    </row>
    <row r="102" spans="1:12" x14ac:dyDescent="0.2">
      <c r="A102" s="48" t="s">
        <v>8</v>
      </c>
      <c r="B102" s="3" t="s">
        <v>9</v>
      </c>
      <c r="C102" s="10"/>
      <c r="D102" s="10"/>
      <c r="E102" s="10" t="s">
        <v>17</v>
      </c>
      <c r="F102" s="10"/>
      <c r="G102" s="10"/>
      <c r="H102" s="10" t="str">
        <f>HLOOKUP($H$95,$C$95:$F$113,8,0)</f>
        <v>x</v>
      </c>
      <c r="I102" t="str">
        <f t="shared" si="5"/>
        <v>yes</v>
      </c>
      <c r="J102" s="10"/>
      <c r="K102" s="10"/>
      <c r="L102" s="10"/>
    </row>
    <row r="103" spans="1:12" x14ac:dyDescent="0.2">
      <c r="A103" s="48"/>
      <c r="B103" s="3" t="s">
        <v>10</v>
      </c>
      <c r="C103" s="10"/>
      <c r="D103" s="10"/>
      <c r="E103" s="10" t="s">
        <v>17</v>
      </c>
      <c r="F103" s="10"/>
      <c r="G103" s="10"/>
      <c r="H103" s="10" t="str">
        <f>HLOOKUP($H$95,$C$95:$F$113,9,0)</f>
        <v>x</v>
      </c>
      <c r="I103" t="str">
        <f t="shared" si="5"/>
        <v>yes</v>
      </c>
      <c r="J103" s="10"/>
      <c r="K103" s="10"/>
      <c r="L103" s="10"/>
    </row>
    <row r="104" spans="1:12" x14ac:dyDescent="0.2">
      <c r="A104" s="48"/>
      <c r="B104" s="3" t="s">
        <v>11</v>
      </c>
      <c r="E104" t="s">
        <v>17</v>
      </c>
      <c r="F104" s="10"/>
      <c r="G104" s="10"/>
      <c r="H104" s="10" t="str">
        <f>HLOOKUP($H$95,$C$95:$F$113,10,0)</f>
        <v>x</v>
      </c>
      <c r="I104" t="str">
        <f t="shared" si="5"/>
        <v>yes</v>
      </c>
      <c r="J104" s="10"/>
      <c r="K104" s="10"/>
      <c r="L104" s="10"/>
    </row>
    <row r="105" spans="1:12" x14ac:dyDescent="0.2">
      <c r="A105" s="63" t="s">
        <v>95</v>
      </c>
      <c r="B105" s="28" t="s">
        <v>69</v>
      </c>
      <c r="E105" t="s">
        <v>17</v>
      </c>
      <c r="F105" s="10"/>
      <c r="G105" s="10"/>
      <c r="H105" s="10" t="str">
        <f>HLOOKUP($H$95,$C$95:$F$113,11,0)</f>
        <v>x</v>
      </c>
      <c r="I105" t="str">
        <f t="shared" si="5"/>
        <v>yes</v>
      </c>
      <c r="J105" s="10"/>
      <c r="K105" s="10"/>
      <c r="L105" s="10"/>
    </row>
    <row r="106" spans="1:12" x14ac:dyDescent="0.2">
      <c r="A106" s="63"/>
      <c r="B106" s="28" t="s">
        <v>70</v>
      </c>
      <c r="E106" t="s">
        <v>17</v>
      </c>
      <c r="F106" s="10"/>
      <c r="G106" s="10"/>
      <c r="H106" s="10" t="str">
        <f>HLOOKUP($H$95,$C$95:$F$113,12,0)</f>
        <v>x</v>
      </c>
      <c r="I106" t="str">
        <f t="shared" si="5"/>
        <v>yes</v>
      </c>
      <c r="J106" s="10"/>
      <c r="K106" s="10"/>
      <c r="L106" s="10"/>
    </row>
    <row r="107" spans="1:12" x14ac:dyDescent="0.2">
      <c r="A107" s="63"/>
      <c r="B107" s="28" t="s">
        <v>86</v>
      </c>
      <c r="C107" t="s">
        <v>17</v>
      </c>
      <c r="E107" t="s">
        <v>17</v>
      </c>
      <c r="F107" t="s">
        <v>17</v>
      </c>
      <c r="G107" s="10"/>
      <c r="H107" s="10" t="str">
        <f>HLOOKUP($H$95,$C$95:$F$113,13,0)</f>
        <v>x</v>
      </c>
      <c r="I107" t="str">
        <f t="shared" si="5"/>
        <v>yes</v>
      </c>
      <c r="J107" s="10"/>
      <c r="K107" s="10"/>
      <c r="L107" s="10"/>
    </row>
    <row r="108" spans="1:12" x14ac:dyDescent="0.2">
      <c r="A108" s="63"/>
      <c r="B108" s="28" t="s">
        <v>71</v>
      </c>
      <c r="E108" t="s">
        <v>17</v>
      </c>
      <c r="F108" s="10"/>
      <c r="G108" s="10"/>
      <c r="H108" s="10" t="str">
        <f>HLOOKUP($H$95,$C$95:$F$113,14,0)</f>
        <v>x</v>
      </c>
      <c r="I108" t="str">
        <f t="shared" si="5"/>
        <v>yes</v>
      </c>
      <c r="J108" s="10"/>
      <c r="K108" s="10"/>
      <c r="L108" s="10"/>
    </row>
    <row r="109" spans="1:12" x14ac:dyDescent="0.2">
      <c r="A109" s="63"/>
      <c r="B109" s="28" t="s">
        <v>72</v>
      </c>
      <c r="C109" t="s">
        <v>17</v>
      </c>
      <c r="F109" s="10"/>
      <c r="G109" s="10"/>
      <c r="H109" s="10">
        <f>HLOOKUP($H$95,$C$95:$F$113,15,0)</f>
        <v>0</v>
      </c>
      <c r="I109" t="str">
        <f t="shared" si="5"/>
        <v>no</v>
      </c>
      <c r="J109" s="10"/>
    </row>
    <row r="110" spans="1:12" x14ac:dyDescent="0.2">
      <c r="A110" s="63"/>
      <c r="B110" s="28" t="s">
        <v>73</v>
      </c>
      <c r="E110" t="s">
        <v>17</v>
      </c>
      <c r="F110" s="10"/>
      <c r="G110" s="10"/>
      <c r="H110" s="10" t="str">
        <f>HLOOKUP($H$95,$C$95:$F$113,16,0)</f>
        <v>x</v>
      </c>
      <c r="I110" t="str">
        <f t="shared" si="5"/>
        <v>yes</v>
      </c>
      <c r="J110" s="10"/>
    </row>
    <row r="111" spans="1:12" x14ac:dyDescent="0.2">
      <c r="A111" s="63"/>
      <c r="B111" s="28" t="s">
        <v>74</v>
      </c>
      <c r="C111" t="s">
        <v>17</v>
      </c>
      <c r="E111" t="s">
        <v>17</v>
      </c>
      <c r="F111" s="10"/>
      <c r="G111" s="10"/>
      <c r="H111" s="10" t="str">
        <f>HLOOKUP($H$95,$C$95:$F$113,17,0)</f>
        <v>x</v>
      </c>
      <c r="I111" t="str">
        <f t="shared" si="5"/>
        <v>yes</v>
      </c>
      <c r="J111" s="10"/>
    </row>
    <row r="112" spans="1:12" x14ac:dyDescent="0.2">
      <c r="A112" s="63"/>
      <c r="B112" s="28" t="s">
        <v>75</v>
      </c>
      <c r="E112" t="s">
        <v>17</v>
      </c>
      <c r="F112" s="10"/>
      <c r="G112" s="10"/>
      <c r="H112" s="10" t="str">
        <f>HLOOKUP($H$95,$C$95:$F$113,18,0)</f>
        <v>x</v>
      </c>
      <c r="I112" t="str">
        <f t="shared" si="5"/>
        <v>yes</v>
      </c>
      <c r="J112" s="10"/>
    </row>
    <row r="113" spans="1:10" x14ac:dyDescent="0.2">
      <c r="A113" s="63"/>
      <c r="B113" s="28" t="s">
        <v>76</v>
      </c>
      <c r="E113" t="s">
        <v>17</v>
      </c>
      <c r="F113" s="10"/>
      <c r="G113" s="10"/>
      <c r="H113" s="10" t="str">
        <f>HLOOKUP($H$95,$C$95:$F$113,19,0)</f>
        <v>x</v>
      </c>
      <c r="I113" t="str">
        <f>IF(H113&gt;0,"yes","no")</f>
        <v>yes</v>
      </c>
      <c r="J113" s="10"/>
    </row>
    <row r="116" spans="1:10" ht="18" x14ac:dyDescent="0.25">
      <c r="A116" s="62" t="s">
        <v>23</v>
      </c>
      <c r="B116" s="62"/>
      <c r="C116" s="62"/>
      <c r="D116" s="62"/>
      <c r="E116" s="62"/>
      <c r="F116" s="62"/>
      <c r="G116" s="62"/>
    </row>
    <row r="117" spans="1:10" ht="13.5" thickBot="1" x14ac:dyDescent="0.25">
      <c r="C117" s="10"/>
      <c r="E117" s="10"/>
      <c r="I117" t="s">
        <v>53</v>
      </c>
      <c r="J117" t="s">
        <v>60</v>
      </c>
    </row>
    <row r="118" spans="1:10" ht="13.5" thickBot="1" x14ac:dyDescent="0.25">
      <c r="C118" t="s">
        <v>34</v>
      </c>
      <c r="D118" t="s">
        <v>35</v>
      </c>
      <c r="E118" t="s">
        <v>36</v>
      </c>
      <c r="F118" t="s">
        <v>37</v>
      </c>
      <c r="G118" t="s">
        <v>38</v>
      </c>
      <c r="I118" s="15" t="str">
        <f>'master front end'!F11</f>
        <v>UL</v>
      </c>
    </row>
    <row r="119" spans="1:10" x14ac:dyDescent="0.2">
      <c r="A119" s="49" t="s">
        <v>0</v>
      </c>
      <c r="B119" s="1" t="s">
        <v>1</v>
      </c>
      <c r="C119" s="10" t="s">
        <v>17</v>
      </c>
      <c r="D119" s="10"/>
      <c r="E119" s="10"/>
      <c r="F119" s="10"/>
      <c r="G119" s="10"/>
      <c r="H119" s="10"/>
      <c r="I119" s="10" t="str">
        <f>HLOOKUP($I$118,$C$118:$G$136,2,0)</f>
        <v>x</v>
      </c>
      <c r="J119" t="str">
        <f>IF(I119&gt;0,"yes","no")</f>
        <v>yes</v>
      </c>
    </row>
    <row r="120" spans="1:10" x14ac:dyDescent="0.2">
      <c r="A120" s="49"/>
      <c r="B120" s="1" t="s">
        <v>2</v>
      </c>
      <c r="C120" s="10" t="s">
        <v>17</v>
      </c>
      <c r="D120" s="10"/>
      <c r="E120" s="10"/>
      <c r="F120" s="10"/>
      <c r="G120" s="10"/>
      <c r="H120" s="10"/>
      <c r="I120" s="10" t="str">
        <f>HLOOKUP($I$118,$C$118:$G$136,3,0)</f>
        <v>x</v>
      </c>
      <c r="J120" t="str">
        <f t="shared" ref="J120:J135" si="6">IF(I120&gt;0,"yes","no")</f>
        <v>yes</v>
      </c>
    </row>
    <row r="121" spans="1:10" x14ac:dyDescent="0.2">
      <c r="A121" s="49"/>
      <c r="B121" s="1" t="s">
        <v>3</v>
      </c>
      <c r="C121" s="10" t="s">
        <v>17</v>
      </c>
      <c r="D121" s="10"/>
      <c r="E121" s="10"/>
      <c r="F121" s="10"/>
      <c r="G121" s="10"/>
      <c r="H121" s="10"/>
      <c r="I121" s="10" t="str">
        <f>HLOOKUP($I$118,$C$118:$G$136,4,0)</f>
        <v>x</v>
      </c>
      <c r="J121" t="str">
        <f t="shared" si="6"/>
        <v>yes</v>
      </c>
    </row>
    <row r="122" spans="1:10" x14ac:dyDescent="0.2">
      <c r="A122" s="47" t="s">
        <v>4</v>
      </c>
      <c r="B122" s="2" t="s">
        <v>5</v>
      </c>
      <c r="C122" s="10" t="s">
        <v>17</v>
      </c>
      <c r="D122" s="10" t="s">
        <v>17</v>
      </c>
      <c r="E122" s="10" t="s">
        <v>17</v>
      </c>
      <c r="F122" s="10" t="s">
        <v>17</v>
      </c>
      <c r="G122" s="10" t="s">
        <v>17</v>
      </c>
      <c r="H122" s="10"/>
      <c r="I122" s="10" t="str">
        <f>HLOOKUP($I$118,$C$118:$G$136,5,0)</f>
        <v>x</v>
      </c>
      <c r="J122" t="str">
        <f t="shared" si="6"/>
        <v>yes</v>
      </c>
    </row>
    <row r="123" spans="1:10" x14ac:dyDescent="0.2">
      <c r="A123" s="47"/>
      <c r="B123" s="2" t="s">
        <v>6</v>
      </c>
      <c r="C123" s="10" t="s">
        <v>17</v>
      </c>
      <c r="D123" s="10" t="s">
        <v>17</v>
      </c>
      <c r="E123" s="10"/>
      <c r="F123" s="10" t="s">
        <v>17</v>
      </c>
      <c r="G123" s="10"/>
      <c r="H123" s="10"/>
      <c r="I123" s="10" t="str">
        <f>HLOOKUP($I$118,$C$118:$G$136,6,0)</f>
        <v>x</v>
      </c>
      <c r="J123" t="str">
        <f t="shared" si="6"/>
        <v>yes</v>
      </c>
    </row>
    <row r="124" spans="1:10" x14ac:dyDescent="0.2">
      <c r="A124" s="47"/>
      <c r="B124" s="2" t="s">
        <v>7</v>
      </c>
      <c r="C124" s="37" t="s">
        <v>17</v>
      </c>
      <c r="D124" s="37" t="s">
        <v>17</v>
      </c>
      <c r="E124" s="37"/>
      <c r="F124" s="37" t="s">
        <v>17</v>
      </c>
      <c r="G124" s="37"/>
      <c r="H124" s="10"/>
      <c r="I124" s="10" t="str">
        <f>HLOOKUP($I$118,$C$118:$G$136,7,0)</f>
        <v>x</v>
      </c>
      <c r="J124" t="str">
        <f t="shared" si="6"/>
        <v>yes</v>
      </c>
    </row>
    <row r="125" spans="1:10" x14ac:dyDescent="0.2">
      <c r="A125" s="48" t="s">
        <v>8</v>
      </c>
      <c r="B125" s="3" t="s">
        <v>9</v>
      </c>
      <c r="C125" s="10" t="s">
        <v>17</v>
      </c>
      <c r="D125" s="10"/>
      <c r="E125" s="10"/>
      <c r="F125" s="10"/>
      <c r="G125" s="10"/>
      <c r="H125" s="10"/>
      <c r="I125" s="10" t="str">
        <f>HLOOKUP($I$118,$C$118:$G$136,8,0)</f>
        <v>x</v>
      </c>
      <c r="J125" t="str">
        <f t="shared" si="6"/>
        <v>yes</v>
      </c>
    </row>
    <row r="126" spans="1:10" x14ac:dyDescent="0.2">
      <c r="A126" s="48"/>
      <c r="B126" s="3" t="s">
        <v>10</v>
      </c>
      <c r="C126" s="10" t="s">
        <v>17</v>
      </c>
      <c r="D126" s="10"/>
      <c r="E126" s="10"/>
      <c r="F126" s="10"/>
      <c r="G126" s="10"/>
      <c r="H126" s="10"/>
      <c r="I126" s="10" t="str">
        <f>HLOOKUP($I$118,$C$118:$G$136,9,0)</f>
        <v>x</v>
      </c>
      <c r="J126" t="str">
        <f t="shared" si="6"/>
        <v>yes</v>
      </c>
    </row>
    <row r="127" spans="1:10" x14ac:dyDescent="0.2">
      <c r="A127" s="48"/>
      <c r="B127" s="3" t="s">
        <v>11</v>
      </c>
      <c r="C127" s="10" t="s">
        <v>17</v>
      </c>
      <c r="F127" s="10"/>
      <c r="G127" s="10"/>
      <c r="H127" s="10"/>
      <c r="I127" s="10" t="str">
        <f>HLOOKUP($I$118,$C$118:$G$136,10,0)</f>
        <v>x</v>
      </c>
      <c r="J127" t="str">
        <f t="shared" si="6"/>
        <v>yes</v>
      </c>
    </row>
    <row r="128" spans="1:10" x14ac:dyDescent="0.2">
      <c r="A128" s="63" t="s">
        <v>95</v>
      </c>
      <c r="B128" s="28" t="s">
        <v>69</v>
      </c>
      <c r="C128" s="10" t="s">
        <v>17</v>
      </c>
      <c r="E128" t="s">
        <v>17</v>
      </c>
      <c r="F128" s="10" t="s">
        <v>17</v>
      </c>
      <c r="G128" s="10"/>
      <c r="H128" s="10"/>
      <c r="I128" s="10" t="str">
        <f>HLOOKUP($I$118,$C$118:$G$136,11,0)</f>
        <v>x</v>
      </c>
      <c r="J128" t="str">
        <f t="shared" si="6"/>
        <v>yes</v>
      </c>
    </row>
    <row r="129" spans="1:10" x14ac:dyDescent="0.2">
      <c r="A129" s="63"/>
      <c r="B129" s="28" t="s">
        <v>70</v>
      </c>
      <c r="C129" s="10" t="s">
        <v>17</v>
      </c>
      <c r="E129" t="s">
        <v>17</v>
      </c>
      <c r="F129" s="10" t="s">
        <v>17</v>
      </c>
      <c r="G129" s="10"/>
      <c r="H129" s="10"/>
      <c r="I129" s="10" t="str">
        <f>HLOOKUP($I$118,$C$118:$G$136,12,0)</f>
        <v>x</v>
      </c>
      <c r="J129" t="str">
        <f t="shared" si="6"/>
        <v>yes</v>
      </c>
    </row>
    <row r="130" spans="1:10" x14ac:dyDescent="0.2">
      <c r="A130" s="63"/>
      <c r="B130" s="28" t="s">
        <v>86</v>
      </c>
      <c r="C130" s="10" t="s">
        <v>17</v>
      </c>
      <c r="E130" t="s">
        <v>17</v>
      </c>
      <c r="F130" t="s">
        <v>17</v>
      </c>
      <c r="G130" s="10"/>
      <c r="H130" s="10"/>
      <c r="I130" s="10" t="str">
        <f>HLOOKUP($I$118,$C$118:$G$136,13,0)</f>
        <v>x</v>
      </c>
      <c r="J130" t="str">
        <f t="shared" si="6"/>
        <v>yes</v>
      </c>
    </row>
    <row r="131" spans="1:10" x14ac:dyDescent="0.2">
      <c r="A131" s="63"/>
      <c r="B131" s="28" t="s">
        <v>71</v>
      </c>
      <c r="C131" s="10" t="s">
        <v>17</v>
      </c>
      <c r="F131" s="10" t="s">
        <v>17</v>
      </c>
      <c r="G131" s="10"/>
      <c r="H131" s="10"/>
      <c r="I131" s="10" t="str">
        <f>HLOOKUP($I$118,$C$118:$G$136,14,0)</f>
        <v>x</v>
      </c>
      <c r="J131" t="str">
        <f t="shared" si="6"/>
        <v>yes</v>
      </c>
    </row>
    <row r="132" spans="1:10" x14ac:dyDescent="0.2">
      <c r="A132" s="63"/>
      <c r="B132" s="28" t="s">
        <v>72</v>
      </c>
      <c r="C132" t="s">
        <v>17</v>
      </c>
      <c r="E132" t="s">
        <v>17</v>
      </c>
      <c r="F132" s="10" t="s">
        <v>17</v>
      </c>
      <c r="G132" s="10"/>
      <c r="H132" s="10"/>
      <c r="I132" s="10" t="str">
        <f>HLOOKUP($I$118,$C$118:$G$136,15,0)</f>
        <v>x</v>
      </c>
      <c r="J132" t="str">
        <f t="shared" si="6"/>
        <v>yes</v>
      </c>
    </row>
    <row r="133" spans="1:10" x14ac:dyDescent="0.2">
      <c r="A133" s="63"/>
      <c r="B133" s="28" t="s">
        <v>73</v>
      </c>
      <c r="F133" s="10"/>
      <c r="G133" s="10"/>
      <c r="H133" s="10"/>
      <c r="I133" s="10">
        <f>HLOOKUP($I$118,$C$118:$G$136,16,0)</f>
        <v>0</v>
      </c>
      <c r="J133" t="str">
        <f t="shared" si="6"/>
        <v>no</v>
      </c>
    </row>
    <row r="134" spans="1:10" x14ac:dyDescent="0.2">
      <c r="A134" s="63"/>
      <c r="B134" s="28" t="s">
        <v>74</v>
      </c>
      <c r="F134" s="10"/>
      <c r="G134" s="10"/>
      <c r="H134" s="10"/>
      <c r="I134" s="10">
        <f>HLOOKUP($I$118,$C$118:$G$136,17,0)</f>
        <v>0</v>
      </c>
      <c r="J134" t="str">
        <f t="shared" si="6"/>
        <v>no</v>
      </c>
    </row>
    <row r="135" spans="1:10" x14ac:dyDescent="0.2">
      <c r="A135" s="63"/>
      <c r="B135" s="28" t="s">
        <v>75</v>
      </c>
      <c r="F135" s="10"/>
      <c r="G135" s="10"/>
      <c r="H135" s="10"/>
      <c r="I135" s="10">
        <f>HLOOKUP($I$118,$C$118:$G$136,18,0)</f>
        <v>0</v>
      </c>
      <c r="J135" t="str">
        <f t="shared" si="6"/>
        <v>no</v>
      </c>
    </row>
    <row r="136" spans="1:10" x14ac:dyDescent="0.2">
      <c r="A136" s="63"/>
      <c r="B136" s="28" t="s">
        <v>76</v>
      </c>
      <c r="C136" t="s">
        <v>17</v>
      </c>
      <c r="D136" t="s">
        <v>17</v>
      </c>
      <c r="E136" t="s">
        <v>17</v>
      </c>
      <c r="F136" s="10" t="s">
        <v>17</v>
      </c>
      <c r="G136" s="10"/>
      <c r="H136" s="10"/>
      <c r="I136" s="10" t="str">
        <f>HLOOKUP($I$118,$C$118:$G$136,19,0)</f>
        <v>x</v>
      </c>
      <c r="J136" t="str">
        <f>IF(I136&gt;0,"yes","no")</f>
        <v>yes</v>
      </c>
    </row>
  </sheetData>
  <mergeCells count="30">
    <mergeCell ref="A102:A104"/>
    <mergeCell ref="A125:A127"/>
    <mergeCell ref="A128:A136"/>
    <mergeCell ref="A105:A113"/>
    <mergeCell ref="A116:G116"/>
    <mergeCell ref="A119:A121"/>
    <mergeCell ref="A122:A124"/>
    <mergeCell ref="A79:A81"/>
    <mergeCell ref="A82:A90"/>
    <mergeCell ref="A93:G93"/>
    <mergeCell ref="A96:A98"/>
    <mergeCell ref="A99:A101"/>
    <mergeCell ref="A56:A58"/>
    <mergeCell ref="A59:A67"/>
    <mergeCell ref="A70:G70"/>
    <mergeCell ref="A73:A75"/>
    <mergeCell ref="A76:A78"/>
    <mergeCell ref="A34:A36"/>
    <mergeCell ref="A37:A45"/>
    <mergeCell ref="A47:G47"/>
    <mergeCell ref="A50:A52"/>
    <mergeCell ref="A53:A55"/>
    <mergeCell ref="A2:G2"/>
    <mergeCell ref="A25:G25"/>
    <mergeCell ref="A28:A30"/>
    <mergeCell ref="A31:A33"/>
    <mergeCell ref="A5:A7"/>
    <mergeCell ref="A8:A10"/>
    <mergeCell ref="A11:A13"/>
    <mergeCell ref="A14:A22"/>
  </mergeCells>
  <phoneticPr fontId="3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10"/>
  </sheetPr>
  <dimension ref="A5:V88"/>
  <sheetViews>
    <sheetView topLeftCell="A68" workbookViewId="0">
      <pane xSplit="2" topLeftCell="C1" activePane="topRight" state="frozen"/>
      <selection pane="topRight" activeCell="C80" sqref="C80:G88"/>
    </sheetView>
  </sheetViews>
  <sheetFormatPr defaultColWidth="11.42578125" defaultRowHeight="12.75" x14ac:dyDescent="0.2"/>
  <sheetData>
    <row r="5" spans="1:22" x14ac:dyDescent="0.2">
      <c r="U5" t="s">
        <v>53</v>
      </c>
      <c r="V5" t="s">
        <v>52</v>
      </c>
    </row>
    <row r="6" spans="1:22" x14ac:dyDescent="0.2">
      <c r="B6" t="s">
        <v>12</v>
      </c>
      <c r="C6" t="s">
        <v>24</v>
      </c>
      <c r="D6" t="s">
        <v>26</v>
      </c>
      <c r="E6" s="4" t="s">
        <v>39</v>
      </c>
      <c r="F6">
        <v>4</v>
      </c>
      <c r="G6">
        <v>5</v>
      </c>
      <c r="H6">
        <v>6</v>
      </c>
      <c r="I6">
        <v>7</v>
      </c>
      <c r="J6">
        <v>8</v>
      </c>
      <c r="K6">
        <v>12</v>
      </c>
      <c r="L6">
        <v>14</v>
      </c>
      <c r="M6">
        <v>2</v>
      </c>
      <c r="N6">
        <v>3</v>
      </c>
      <c r="O6" t="s">
        <v>43</v>
      </c>
      <c r="P6" t="s">
        <v>44</v>
      </c>
      <c r="Q6" t="s">
        <v>45</v>
      </c>
      <c r="R6" t="s">
        <v>46</v>
      </c>
      <c r="S6" t="s">
        <v>47</v>
      </c>
      <c r="U6">
        <f>'front-end details'!$B$29</f>
        <v>7</v>
      </c>
    </row>
    <row r="7" spans="1:22" x14ac:dyDescent="0.2">
      <c r="A7" s="49" t="s">
        <v>0</v>
      </c>
      <c r="B7" s="1" t="s">
        <v>1</v>
      </c>
      <c r="E7" t="s">
        <v>17</v>
      </c>
      <c r="F7" t="s">
        <v>17</v>
      </c>
      <c r="G7" t="s">
        <v>17</v>
      </c>
      <c r="H7" t="s">
        <v>17</v>
      </c>
      <c r="I7" t="s">
        <v>17</v>
      </c>
      <c r="J7" t="s">
        <v>17</v>
      </c>
      <c r="K7" t="s">
        <v>17</v>
      </c>
      <c r="L7" t="s">
        <v>17</v>
      </c>
      <c r="U7" t="str">
        <f>HLOOKUP($U$6,$C$6:$S$15,2,0)</f>
        <v>x</v>
      </c>
      <c r="V7" t="str">
        <f>IF(U7="x","yes","no")</f>
        <v>yes</v>
      </c>
    </row>
    <row r="8" spans="1:22" x14ac:dyDescent="0.2">
      <c r="A8" s="49"/>
      <c r="B8" s="1" t="s">
        <v>2</v>
      </c>
      <c r="E8" t="s">
        <v>17</v>
      </c>
      <c r="F8" t="s">
        <v>17</v>
      </c>
      <c r="G8" t="s">
        <v>17</v>
      </c>
      <c r="H8" t="s">
        <v>17</v>
      </c>
      <c r="I8" t="s">
        <v>17</v>
      </c>
      <c r="J8" t="s">
        <v>17</v>
      </c>
      <c r="K8" t="s">
        <v>17</v>
      </c>
      <c r="L8" t="s">
        <v>17</v>
      </c>
      <c r="U8" t="str">
        <f>HLOOKUP($U$6,$C$6:$S$15,3,0)</f>
        <v>x</v>
      </c>
      <c r="V8" t="str">
        <f t="shared" ref="V8:V15" si="0">IF(U8="x","yes","no")</f>
        <v>yes</v>
      </c>
    </row>
    <row r="9" spans="1:22" x14ac:dyDescent="0.2">
      <c r="A9" s="49"/>
      <c r="B9" s="1" t="s">
        <v>3</v>
      </c>
      <c r="E9" t="s">
        <v>17</v>
      </c>
      <c r="F9" t="s">
        <v>17</v>
      </c>
      <c r="G9" t="s">
        <v>17</v>
      </c>
      <c r="H9" t="s">
        <v>17</v>
      </c>
      <c r="I9" t="s">
        <v>17</v>
      </c>
      <c r="J9" t="s">
        <v>17</v>
      </c>
      <c r="K9" t="s">
        <v>17</v>
      </c>
      <c r="L9" t="s">
        <v>17</v>
      </c>
      <c r="U9" t="str">
        <f>HLOOKUP($U$6,$C$6:$S$15,4,0)</f>
        <v>x</v>
      </c>
      <c r="V9" t="str">
        <f t="shared" si="0"/>
        <v>yes</v>
      </c>
    </row>
    <row r="10" spans="1:22" x14ac:dyDescent="0.2">
      <c r="A10" s="47" t="s">
        <v>4</v>
      </c>
      <c r="B10" s="2" t="s">
        <v>5</v>
      </c>
      <c r="C10" t="s">
        <v>17</v>
      </c>
      <c r="D10" t="s">
        <v>17</v>
      </c>
      <c r="U10">
        <f>HLOOKUP($U$6,$C$6:$S$15,5,0)</f>
        <v>0</v>
      </c>
      <c r="V10" t="str">
        <f t="shared" si="0"/>
        <v>no</v>
      </c>
    </row>
    <row r="11" spans="1:22" x14ac:dyDescent="0.2">
      <c r="A11" s="47"/>
      <c r="B11" s="2" t="s">
        <v>6</v>
      </c>
      <c r="F11" t="s">
        <v>17</v>
      </c>
      <c r="G11" t="s">
        <v>17</v>
      </c>
      <c r="J11" t="s">
        <v>17</v>
      </c>
      <c r="M11" t="s">
        <v>17</v>
      </c>
      <c r="N11" t="s">
        <v>17</v>
      </c>
      <c r="O11" t="s">
        <v>17</v>
      </c>
      <c r="P11" t="s">
        <v>48</v>
      </c>
      <c r="Q11" t="s">
        <v>17</v>
      </c>
      <c r="R11" t="s">
        <v>17</v>
      </c>
      <c r="S11" t="s">
        <v>17</v>
      </c>
      <c r="U11">
        <f>HLOOKUP($U$6,$C$6:$S$15,6,0)</f>
        <v>0</v>
      </c>
      <c r="V11" t="str">
        <f t="shared" si="0"/>
        <v>no</v>
      </c>
    </row>
    <row r="12" spans="1:22" x14ac:dyDescent="0.2">
      <c r="A12" s="47"/>
      <c r="B12" s="2" t="s">
        <v>7</v>
      </c>
      <c r="U12">
        <f>HLOOKUP($U$6,$C$6:$S$15,7,0)</f>
        <v>0</v>
      </c>
      <c r="V12" t="str">
        <f t="shared" si="0"/>
        <v>no</v>
      </c>
    </row>
    <row r="13" spans="1:22" x14ac:dyDescent="0.2">
      <c r="A13" s="48" t="s">
        <v>8</v>
      </c>
      <c r="B13" s="3" t="s">
        <v>9</v>
      </c>
      <c r="U13">
        <f>HLOOKUP($U$6,$C$6:$S$15,8,0)</f>
        <v>0</v>
      </c>
      <c r="V13" t="str">
        <f t="shared" si="0"/>
        <v>no</v>
      </c>
    </row>
    <row r="14" spans="1:22" x14ac:dyDescent="0.2">
      <c r="A14" s="48"/>
      <c r="B14" s="3" t="s">
        <v>10</v>
      </c>
      <c r="U14">
        <f>HLOOKUP($U$6,$C$6:$S$15,9,0)</f>
        <v>0</v>
      </c>
      <c r="V14" t="str">
        <f t="shared" si="0"/>
        <v>no</v>
      </c>
    </row>
    <row r="15" spans="1:22" x14ac:dyDescent="0.2">
      <c r="A15" s="48"/>
      <c r="B15" s="3" t="s">
        <v>11</v>
      </c>
      <c r="U15">
        <f>HLOOKUP($U$6,$C$6:$S$15,10,0)</f>
        <v>0</v>
      </c>
      <c r="V15" t="str">
        <f t="shared" si="0"/>
        <v>no</v>
      </c>
    </row>
    <row r="18" spans="1:12" x14ac:dyDescent="0.2">
      <c r="J18" t="s">
        <v>67</v>
      </c>
    </row>
    <row r="19" spans="1:12" x14ac:dyDescent="0.2">
      <c r="B19" t="s">
        <v>19</v>
      </c>
      <c r="C19" t="s">
        <v>14</v>
      </c>
      <c r="D19" t="s">
        <v>15</v>
      </c>
      <c r="E19" t="s">
        <v>16</v>
      </c>
      <c r="J19">
        <v>1</v>
      </c>
    </row>
    <row r="20" spans="1:12" x14ac:dyDescent="0.2">
      <c r="A20" s="49" t="s">
        <v>0</v>
      </c>
      <c r="B20" s="1" t="s">
        <v>1</v>
      </c>
      <c r="C20" t="s">
        <v>17</v>
      </c>
      <c r="J20">
        <v>2</v>
      </c>
    </row>
    <row r="21" spans="1:12" x14ac:dyDescent="0.2">
      <c r="A21" s="49"/>
      <c r="B21" s="1" t="s">
        <v>2</v>
      </c>
      <c r="C21" t="s">
        <v>17</v>
      </c>
      <c r="J21">
        <v>3</v>
      </c>
    </row>
    <row r="22" spans="1:12" x14ac:dyDescent="0.2">
      <c r="A22" s="49"/>
      <c r="B22" s="1" t="s">
        <v>3</v>
      </c>
      <c r="D22" t="s">
        <v>17</v>
      </c>
      <c r="E22" t="s">
        <v>17</v>
      </c>
    </row>
    <row r="23" spans="1:12" x14ac:dyDescent="0.2">
      <c r="A23" s="47" t="s">
        <v>4</v>
      </c>
      <c r="B23" s="2" t="s">
        <v>5</v>
      </c>
      <c r="D23" t="s">
        <v>17</v>
      </c>
      <c r="E23" t="s">
        <v>17</v>
      </c>
    </row>
    <row r="24" spans="1:12" x14ac:dyDescent="0.2">
      <c r="A24" s="47"/>
      <c r="B24" s="2" t="s">
        <v>6</v>
      </c>
      <c r="D24" t="s">
        <v>17</v>
      </c>
      <c r="E24" t="s">
        <v>49</v>
      </c>
    </row>
    <row r="25" spans="1:12" x14ac:dyDescent="0.2">
      <c r="A25" s="47"/>
      <c r="B25" s="2" t="s">
        <v>7</v>
      </c>
    </row>
    <row r="26" spans="1:12" x14ac:dyDescent="0.2">
      <c r="A26" s="48" t="s">
        <v>8</v>
      </c>
      <c r="B26" s="3" t="s">
        <v>9</v>
      </c>
    </row>
    <row r="27" spans="1:12" x14ac:dyDescent="0.2">
      <c r="A27" s="48"/>
      <c r="B27" s="3" t="s">
        <v>10</v>
      </c>
    </row>
    <row r="28" spans="1:12" x14ac:dyDescent="0.2">
      <c r="A28" s="48"/>
      <c r="B28" s="3" t="s">
        <v>11</v>
      </c>
    </row>
    <row r="29" spans="1:12" ht="13.5" thickBot="1" x14ac:dyDescent="0.25"/>
    <row r="30" spans="1:12" ht="13.5" thickBot="1" x14ac:dyDescent="0.25">
      <c r="J30" t="s">
        <v>53</v>
      </c>
      <c r="L30" s="15" t="s">
        <v>60</v>
      </c>
    </row>
    <row r="31" spans="1:12" x14ac:dyDescent="0.2">
      <c r="B31" t="s">
        <v>20</v>
      </c>
      <c r="C31" s="10" t="s">
        <v>59</v>
      </c>
      <c r="D31" s="10" t="s">
        <v>56</v>
      </c>
      <c r="E31" s="10" t="s">
        <v>57</v>
      </c>
      <c r="F31" s="10" t="s">
        <v>58</v>
      </c>
      <c r="G31" s="10" t="s">
        <v>55</v>
      </c>
      <c r="H31" s="10" t="s">
        <v>41</v>
      </c>
      <c r="J31" t="str">
        <f>'front-end details'!B15</f>
        <v>up to 100V</v>
      </c>
      <c r="L31" s="12"/>
    </row>
    <row r="32" spans="1:12" x14ac:dyDescent="0.2">
      <c r="A32" s="49" t="s">
        <v>0</v>
      </c>
      <c r="B32" s="1" t="s">
        <v>1</v>
      </c>
      <c r="C32" s="10" t="s">
        <v>17</v>
      </c>
      <c r="D32" s="10" t="s">
        <v>17</v>
      </c>
      <c r="E32" s="10" t="s">
        <v>17</v>
      </c>
      <c r="F32" s="10" t="s">
        <v>17</v>
      </c>
      <c r="G32" s="10"/>
      <c r="H32" s="10"/>
      <c r="J32" t="str">
        <f>HLOOKUP($J$31,$C$31:$H$40,2,0)</f>
        <v>x</v>
      </c>
      <c r="L32" s="12" t="str">
        <f>IF(J32="x","yes","no")</f>
        <v>yes</v>
      </c>
    </row>
    <row r="33" spans="1:12" x14ac:dyDescent="0.2">
      <c r="A33" s="49"/>
      <c r="B33" s="1" t="s">
        <v>2</v>
      </c>
      <c r="C33" s="10" t="s">
        <v>17</v>
      </c>
      <c r="D33" s="10" t="s">
        <v>17</v>
      </c>
      <c r="E33" s="10" t="s">
        <v>17</v>
      </c>
      <c r="F33" s="10" t="s">
        <v>17</v>
      </c>
      <c r="G33" s="10"/>
      <c r="H33" s="10"/>
      <c r="J33" t="str">
        <f>HLOOKUP($J$31,$C$31:$H$40,3,0)</f>
        <v>x</v>
      </c>
      <c r="L33" s="12" t="str">
        <f t="shared" ref="L33:L40" si="1">IF(J33="x","yes","no")</f>
        <v>yes</v>
      </c>
    </row>
    <row r="34" spans="1:12" x14ac:dyDescent="0.2">
      <c r="A34" s="49"/>
      <c r="B34" s="1" t="s">
        <v>3</v>
      </c>
      <c r="C34" s="10" t="s">
        <v>17</v>
      </c>
      <c r="D34" s="10" t="s">
        <v>17</v>
      </c>
      <c r="E34" s="10" t="s">
        <v>17</v>
      </c>
      <c r="F34" s="10" t="s">
        <v>17</v>
      </c>
      <c r="G34" s="10"/>
      <c r="H34" s="10"/>
      <c r="J34" t="str">
        <f>HLOOKUP($J$31,$C$31:$H$40,4,0)</f>
        <v>x</v>
      </c>
      <c r="L34" s="12" t="str">
        <f t="shared" si="1"/>
        <v>yes</v>
      </c>
    </row>
    <row r="35" spans="1:12" x14ac:dyDescent="0.2">
      <c r="A35" s="47" t="s">
        <v>4</v>
      </c>
      <c r="B35" s="2" t="s">
        <v>5</v>
      </c>
      <c r="C35" s="10" t="s">
        <v>17</v>
      </c>
      <c r="D35" s="10" t="s">
        <v>17</v>
      </c>
      <c r="E35" s="10" t="s">
        <v>17</v>
      </c>
      <c r="F35" s="10" t="s">
        <v>17</v>
      </c>
      <c r="G35" s="10" t="s">
        <v>17</v>
      </c>
      <c r="H35" s="10"/>
      <c r="J35" t="str">
        <f>HLOOKUP($J$31,$C$31:$H$40,5,0)</f>
        <v>x</v>
      </c>
      <c r="L35" s="12" t="str">
        <f t="shared" si="1"/>
        <v>yes</v>
      </c>
    </row>
    <row r="36" spans="1:12" x14ac:dyDescent="0.2">
      <c r="A36" s="47"/>
      <c r="B36" s="2" t="s">
        <v>6</v>
      </c>
      <c r="C36" s="10" t="s">
        <v>17</v>
      </c>
      <c r="D36" s="10" t="s">
        <v>17</v>
      </c>
      <c r="E36" s="10" t="s">
        <v>17</v>
      </c>
      <c r="F36" s="10" t="s">
        <v>17</v>
      </c>
      <c r="G36" s="10" t="s">
        <v>17</v>
      </c>
      <c r="H36" s="10" t="s">
        <v>17</v>
      </c>
      <c r="J36" t="str">
        <f>HLOOKUP($J$31,$C$31:$H$40,6,0)</f>
        <v>x</v>
      </c>
      <c r="L36" s="12" t="str">
        <f t="shared" si="1"/>
        <v>yes</v>
      </c>
    </row>
    <row r="37" spans="1:12" x14ac:dyDescent="0.2">
      <c r="A37" s="47"/>
      <c r="B37" s="2" t="s">
        <v>7</v>
      </c>
      <c r="E37" s="10"/>
      <c r="J37">
        <f>HLOOKUP($J$31,$C$31:$H$40,7,0)</f>
        <v>0</v>
      </c>
      <c r="L37" s="12" t="str">
        <f t="shared" si="1"/>
        <v>no</v>
      </c>
    </row>
    <row r="38" spans="1:12" x14ac:dyDescent="0.2">
      <c r="A38" s="48" t="s">
        <v>8</v>
      </c>
      <c r="B38" s="3" t="s">
        <v>9</v>
      </c>
      <c r="C38" s="10"/>
      <c r="D38" s="10"/>
      <c r="E38" s="10"/>
      <c r="J38">
        <f>HLOOKUP($J$31,$C$31:$H$40,8,0)</f>
        <v>0</v>
      </c>
      <c r="L38" s="12" t="str">
        <f t="shared" si="1"/>
        <v>no</v>
      </c>
    </row>
    <row r="39" spans="1:12" x14ac:dyDescent="0.2">
      <c r="A39" s="48"/>
      <c r="B39" s="3" t="s">
        <v>10</v>
      </c>
      <c r="C39" s="10"/>
      <c r="D39" s="10"/>
      <c r="E39" s="10"/>
      <c r="J39">
        <f>HLOOKUP($J$31,$C$31:$H$40,9,0)</f>
        <v>0</v>
      </c>
      <c r="L39" s="12" t="str">
        <f t="shared" si="1"/>
        <v>no</v>
      </c>
    </row>
    <row r="40" spans="1:12" ht="13.5" thickBot="1" x14ac:dyDescent="0.25">
      <c r="A40" s="48"/>
      <c r="B40" s="3" t="s">
        <v>11</v>
      </c>
      <c r="C40" s="10"/>
      <c r="J40">
        <f>HLOOKUP($J$31,$C$31:$H$40,10,0)</f>
        <v>0</v>
      </c>
      <c r="L40" s="13" t="str">
        <f t="shared" si="1"/>
        <v>no</v>
      </c>
    </row>
    <row r="42" spans="1:12" x14ac:dyDescent="0.2">
      <c r="F42" t="s">
        <v>53</v>
      </c>
      <c r="G42" t="s">
        <v>60</v>
      </c>
    </row>
    <row r="43" spans="1:12" x14ac:dyDescent="0.2">
      <c r="B43" t="s">
        <v>21</v>
      </c>
      <c r="C43" s="4" t="s">
        <v>33</v>
      </c>
      <c r="F43" t="str">
        <f>'front-end details'!B50</f>
        <v>-40 + 125°C</v>
      </c>
      <c r="H43" t="s">
        <v>64</v>
      </c>
    </row>
    <row r="44" spans="1:12" x14ac:dyDescent="0.2">
      <c r="A44" s="49" t="s">
        <v>0</v>
      </c>
      <c r="B44" s="1" t="s">
        <v>1</v>
      </c>
      <c r="F44">
        <f>HLOOKUP($F$43,$C$43:$D$52,2,0)</f>
        <v>0</v>
      </c>
      <c r="G44" t="str">
        <f>IF(F44="x","yes","no")</f>
        <v>no</v>
      </c>
      <c r="H44" s="4" t="s">
        <v>33</v>
      </c>
    </row>
    <row r="45" spans="1:12" x14ac:dyDescent="0.2">
      <c r="A45" s="49"/>
      <c r="B45" s="1" t="s">
        <v>2</v>
      </c>
      <c r="F45">
        <f>HLOOKUP($F$43,$C$43:$D$52,3,0)</f>
        <v>0</v>
      </c>
      <c r="G45" t="str">
        <f t="shared" ref="G45:G52" si="2">IF(F45="x","yes","no")</f>
        <v>no</v>
      </c>
    </row>
    <row r="46" spans="1:12" x14ac:dyDescent="0.2">
      <c r="A46" s="49"/>
      <c r="B46" s="1" t="s">
        <v>3</v>
      </c>
      <c r="F46">
        <f>HLOOKUP($F$43,$C$43:$D$52,4,0)</f>
        <v>0</v>
      </c>
      <c r="G46" t="str">
        <f t="shared" si="2"/>
        <v>no</v>
      </c>
    </row>
    <row r="47" spans="1:12" x14ac:dyDescent="0.2">
      <c r="A47" s="47" t="s">
        <v>4</v>
      </c>
      <c r="B47" s="2" t="s">
        <v>5</v>
      </c>
      <c r="C47" t="s">
        <v>17</v>
      </c>
      <c r="F47" t="str">
        <f>HLOOKUP($F$43,$C$43:$D$52,5,0)</f>
        <v>x</v>
      </c>
      <c r="G47" t="str">
        <f t="shared" si="2"/>
        <v>yes</v>
      </c>
    </row>
    <row r="48" spans="1:12" x14ac:dyDescent="0.2">
      <c r="A48" s="47"/>
      <c r="B48" s="2" t="s">
        <v>6</v>
      </c>
      <c r="C48" t="s">
        <v>17</v>
      </c>
      <c r="F48" t="str">
        <f>HLOOKUP($F$43,$C$43:$D$52,6,0)</f>
        <v>x</v>
      </c>
      <c r="G48" t="str">
        <f t="shared" si="2"/>
        <v>yes</v>
      </c>
    </row>
    <row r="49" spans="1:12" x14ac:dyDescent="0.2">
      <c r="A49" s="47"/>
      <c r="B49" s="2" t="s">
        <v>7</v>
      </c>
      <c r="C49" t="s">
        <v>17</v>
      </c>
      <c r="F49" t="str">
        <f>HLOOKUP($F$43,$C$43:$D$52,7,0)</f>
        <v>x</v>
      </c>
      <c r="G49" t="str">
        <f t="shared" si="2"/>
        <v>yes</v>
      </c>
    </row>
    <row r="50" spans="1:12" x14ac:dyDescent="0.2">
      <c r="A50" s="48" t="s">
        <v>8</v>
      </c>
      <c r="B50" s="3" t="s">
        <v>9</v>
      </c>
      <c r="F50">
        <f>HLOOKUP($F$43,$C$43:$D$52,8,0)</f>
        <v>0</v>
      </c>
      <c r="G50" t="str">
        <f t="shared" si="2"/>
        <v>no</v>
      </c>
    </row>
    <row r="51" spans="1:12" x14ac:dyDescent="0.2">
      <c r="A51" s="48"/>
      <c r="B51" s="3" t="s">
        <v>10</v>
      </c>
      <c r="F51">
        <f>HLOOKUP($F$43,$C$43:$D$52,9,0)</f>
        <v>0</v>
      </c>
      <c r="G51" t="str">
        <f t="shared" si="2"/>
        <v>no</v>
      </c>
    </row>
    <row r="52" spans="1:12" x14ac:dyDescent="0.2">
      <c r="A52" s="48"/>
      <c r="B52" s="3" t="s">
        <v>11</v>
      </c>
      <c r="F52">
        <f>HLOOKUP($F$43,$C$43:$D$52,10,0)</f>
        <v>0</v>
      </c>
      <c r="G52" t="str">
        <f t="shared" si="2"/>
        <v>no</v>
      </c>
    </row>
    <row r="53" spans="1:12" ht="13.5" thickBot="1" x14ac:dyDescent="0.25"/>
    <row r="54" spans="1:12" x14ac:dyDescent="0.2">
      <c r="G54" t="s">
        <v>53</v>
      </c>
      <c r="I54" s="11" t="s">
        <v>60</v>
      </c>
      <c r="L54" t="s">
        <v>27</v>
      </c>
    </row>
    <row r="55" spans="1:12" x14ac:dyDescent="0.2">
      <c r="B55" t="s">
        <v>27</v>
      </c>
      <c r="C55" t="s">
        <v>28</v>
      </c>
      <c r="D55" t="s">
        <v>40</v>
      </c>
      <c r="E55" t="s">
        <v>42</v>
      </c>
      <c r="G55" t="str">
        <f>'front-end details'!B22</f>
        <v>up to 16A</v>
      </c>
      <c r="I55" s="16"/>
      <c r="L55" t="s">
        <v>40</v>
      </c>
    </row>
    <row r="56" spans="1:12" x14ac:dyDescent="0.2">
      <c r="A56" s="49" t="s">
        <v>0</v>
      </c>
      <c r="B56" s="1" t="s">
        <v>1</v>
      </c>
      <c r="D56" t="s">
        <v>17</v>
      </c>
      <c r="G56">
        <f>HLOOKUP($G$55,$C$55:$E$64,2,0)</f>
        <v>0</v>
      </c>
      <c r="I56" s="12" t="str">
        <f>IF(G56="x","yes","no")</f>
        <v>no</v>
      </c>
      <c r="L56" t="s">
        <v>28</v>
      </c>
    </row>
    <row r="57" spans="1:12" x14ac:dyDescent="0.2">
      <c r="A57" s="49"/>
      <c r="B57" s="1" t="s">
        <v>2</v>
      </c>
      <c r="D57" t="s">
        <v>17</v>
      </c>
      <c r="G57">
        <f>HLOOKUP($G$55,$C$55:$E$64,3,0)</f>
        <v>0</v>
      </c>
      <c r="I57" s="12" t="str">
        <f t="shared" ref="I57:I64" si="3">IF(G57="x","yes","no")</f>
        <v>no</v>
      </c>
      <c r="L57" t="s">
        <v>42</v>
      </c>
    </row>
    <row r="58" spans="1:12" x14ac:dyDescent="0.2">
      <c r="A58" s="49"/>
      <c r="B58" s="1" t="s">
        <v>3</v>
      </c>
      <c r="D58" t="s">
        <v>17</v>
      </c>
      <c r="G58">
        <f>HLOOKUP($G$55,$C$55:$E$64,4,0)</f>
        <v>0</v>
      </c>
      <c r="I58" s="12" t="str">
        <f t="shared" si="3"/>
        <v>no</v>
      </c>
    </row>
    <row r="59" spans="1:12" x14ac:dyDescent="0.2">
      <c r="A59" s="47" t="s">
        <v>4</v>
      </c>
      <c r="B59" s="2" t="s">
        <v>5</v>
      </c>
      <c r="C59" t="s">
        <v>17</v>
      </c>
      <c r="D59" t="s">
        <v>17</v>
      </c>
      <c r="G59" t="str">
        <f>HLOOKUP($G$55,$C$55:$E$64,5,0)</f>
        <v>x</v>
      </c>
      <c r="I59" s="12" t="str">
        <f t="shared" si="3"/>
        <v>yes</v>
      </c>
    </row>
    <row r="60" spans="1:12" x14ac:dyDescent="0.2">
      <c r="A60" s="47"/>
      <c r="B60" s="2" t="s">
        <v>6</v>
      </c>
      <c r="C60" t="s">
        <v>17</v>
      </c>
      <c r="D60" t="s">
        <v>17</v>
      </c>
      <c r="E60" t="s">
        <v>17</v>
      </c>
      <c r="G60" t="str">
        <f>HLOOKUP($G$55,$C$55:$E$64,6,0)</f>
        <v>x</v>
      </c>
      <c r="I60" s="12" t="str">
        <f t="shared" si="3"/>
        <v>yes</v>
      </c>
    </row>
    <row r="61" spans="1:12" x14ac:dyDescent="0.2">
      <c r="A61" s="47"/>
      <c r="B61" s="2" t="s">
        <v>7</v>
      </c>
      <c r="G61">
        <f>HLOOKUP($G$55,$C$55:$E$64,7,0)</f>
        <v>0</v>
      </c>
      <c r="I61" s="12" t="str">
        <f t="shared" si="3"/>
        <v>no</v>
      </c>
    </row>
    <row r="62" spans="1:12" x14ac:dyDescent="0.2">
      <c r="A62" s="48" t="s">
        <v>8</v>
      </c>
      <c r="B62" s="3" t="s">
        <v>9</v>
      </c>
      <c r="G62">
        <f>HLOOKUP($G$55,$C$55:$E$64,8,0)</f>
        <v>0</v>
      </c>
      <c r="I62" s="12" t="str">
        <f t="shared" si="3"/>
        <v>no</v>
      </c>
    </row>
    <row r="63" spans="1:12" x14ac:dyDescent="0.2">
      <c r="A63" s="48"/>
      <c r="B63" s="3" t="s">
        <v>10</v>
      </c>
      <c r="G63">
        <f>HLOOKUP($G$55,$C$55:$E$64,9,0)</f>
        <v>0</v>
      </c>
      <c r="I63" s="12" t="str">
        <f t="shared" si="3"/>
        <v>no</v>
      </c>
    </row>
    <row r="64" spans="1:12" ht="13.5" thickBot="1" x14ac:dyDescent="0.25">
      <c r="A64" s="48"/>
      <c r="B64" s="3" t="s">
        <v>11</v>
      </c>
      <c r="G64">
        <f>HLOOKUP($G$55,$C$55:$E$64,10,0)</f>
        <v>0</v>
      </c>
      <c r="I64" s="13" t="str">
        <f t="shared" si="3"/>
        <v>no</v>
      </c>
    </row>
    <row r="66" spans="1:10" x14ac:dyDescent="0.2">
      <c r="G66" t="s">
        <v>53</v>
      </c>
      <c r="I66" t="s">
        <v>60</v>
      </c>
    </row>
    <row r="67" spans="1:10" x14ac:dyDescent="0.2">
      <c r="B67" t="s">
        <v>22</v>
      </c>
      <c r="C67" t="s">
        <v>29</v>
      </c>
      <c r="D67" t="s">
        <v>30</v>
      </c>
      <c r="E67" t="s">
        <v>31</v>
      </c>
      <c r="F67" t="s">
        <v>32</v>
      </c>
      <c r="G67" t="str">
        <f>'front-end details'!B36</f>
        <v>soldering</v>
      </c>
      <c r="J67" t="s">
        <v>62</v>
      </c>
    </row>
    <row r="68" spans="1:10" x14ac:dyDescent="0.2">
      <c r="A68" s="49" t="s">
        <v>0</v>
      </c>
      <c r="B68" s="1" t="s">
        <v>1</v>
      </c>
      <c r="D68" t="s">
        <v>17</v>
      </c>
      <c r="E68" t="s">
        <v>17</v>
      </c>
      <c r="G68" t="str">
        <f>HLOOKUP($G$67,$C$67:$F$76,2,0)</f>
        <v>x</v>
      </c>
      <c r="I68" t="str">
        <f>IF(G68="x","yes","no")</f>
        <v>yes</v>
      </c>
      <c r="J68" t="s">
        <v>29</v>
      </c>
    </row>
    <row r="69" spans="1:10" x14ac:dyDescent="0.2">
      <c r="A69" s="49"/>
      <c r="B69" s="1" t="s">
        <v>2</v>
      </c>
      <c r="D69" t="s">
        <v>17</v>
      </c>
      <c r="E69" t="s">
        <v>17</v>
      </c>
      <c r="G69" t="str">
        <f>HLOOKUP($G$67,$C$67:$F$76,3,0)</f>
        <v>x</v>
      </c>
      <c r="I69" t="str">
        <f t="shared" ref="I69:I76" si="4">IF(G69="x","yes","no")</f>
        <v>yes</v>
      </c>
      <c r="J69" t="s">
        <v>30</v>
      </c>
    </row>
    <row r="70" spans="1:10" x14ac:dyDescent="0.2">
      <c r="A70" s="49"/>
      <c r="B70" s="1" t="s">
        <v>3</v>
      </c>
      <c r="D70" t="s">
        <v>17</v>
      </c>
      <c r="E70" t="s">
        <v>17</v>
      </c>
      <c r="G70" t="str">
        <f>HLOOKUP($G$67,$C$67:$F$76,4,0)</f>
        <v>x</v>
      </c>
      <c r="I70" t="str">
        <f t="shared" si="4"/>
        <v>yes</v>
      </c>
      <c r="J70" t="s">
        <v>31</v>
      </c>
    </row>
    <row r="71" spans="1:10" x14ac:dyDescent="0.2">
      <c r="A71" s="47" t="s">
        <v>4</v>
      </c>
      <c r="B71" s="2" t="s">
        <v>5</v>
      </c>
      <c r="C71" t="s">
        <v>17</v>
      </c>
      <c r="D71" t="s">
        <v>17</v>
      </c>
      <c r="E71" t="s">
        <v>17</v>
      </c>
      <c r="G71" t="str">
        <f>HLOOKUP($G$67,$C$67:$F$76,5,0)</f>
        <v>x</v>
      </c>
      <c r="I71" t="str">
        <f t="shared" si="4"/>
        <v>yes</v>
      </c>
      <c r="J71" t="s">
        <v>32</v>
      </c>
    </row>
    <row r="72" spans="1:10" x14ac:dyDescent="0.2">
      <c r="A72" s="47"/>
      <c r="B72" s="2" t="s">
        <v>6</v>
      </c>
      <c r="C72" t="s">
        <v>17</v>
      </c>
      <c r="E72" t="s">
        <v>17</v>
      </c>
      <c r="G72">
        <f>HLOOKUP($G$67,$C$67:$F$76,6,0)</f>
        <v>0</v>
      </c>
      <c r="I72" t="str">
        <f t="shared" si="4"/>
        <v>no</v>
      </c>
    </row>
    <row r="73" spans="1:10" x14ac:dyDescent="0.2">
      <c r="A73" s="47"/>
      <c r="B73" s="2" t="s">
        <v>7</v>
      </c>
      <c r="G73">
        <f>HLOOKUP($G$67,$C$67:$F$76,7,0)</f>
        <v>0</v>
      </c>
      <c r="I73" t="str">
        <f t="shared" si="4"/>
        <v>no</v>
      </c>
    </row>
    <row r="74" spans="1:10" x14ac:dyDescent="0.2">
      <c r="A74" s="48" t="s">
        <v>8</v>
      </c>
      <c r="B74" s="3" t="s">
        <v>9</v>
      </c>
      <c r="G74">
        <f>HLOOKUP($G$67,$C$67:$F$76,8,0)</f>
        <v>0</v>
      </c>
      <c r="I74" t="str">
        <f t="shared" si="4"/>
        <v>no</v>
      </c>
    </row>
    <row r="75" spans="1:10" x14ac:dyDescent="0.2">
      <c r="A75" s="48"/>
      <c r="B75" s="3" t="s">
        <v>10</v>
      </c>
      <c r="G75">
        <f>HLOOKUP($G$67,$C$67:$F$76,9,0)</f>
        <v>0</v>
      </c>
      <c r="I75" t="str">
        <f t="shared" si="4"/>
        <v>no</v>
      </c>
    </row>
    <row r="76" spans="1:10" x14ac:dyDescent="0.2">
      <c r="A76" s="48"/>
      <c r="B76" s="3" t="s">
        <v>11</v>
      </c>
      <c r="G76">
        <f>HLOOKUP($G$67,$C$67:$F$76,10,0)</f>
        <v>0</v>
      </c>
      <c r="I76" t="str">
        <f t="shared" si="4"/>
        <v>no</v>
      </c>
    </row>
    <row r="78" spans="1:10" x14ac:dyDescent="0.2">
      <c r="H78" t="s">
        <v>53</v>
      </c>
      <c r="I78" t="s">
        <v>60</v>
      </c>
    </row>
    <row r="79" spans="1:10" x14ac:dyDescent="0.2">
      <c r="B79" t="s">
        <v>23</v>
      </c>
      <c r="C79" t="s">
        <v>34</v>
      </c>
      <c r="D79" t="s">
        <v>35</v>
      </c>
      <c r="E79" t="s">
        <v>36</v>
      </c>
      <c r="F79" t="s">
        <v>37</v>
      </c>
      <c r="G79" t="s">
        <v>38</v>
      </c>
      <c r="H79" t="str">
        <f>'front-end details'!B43</f>
        <v>VDE</v>
      </c>
      <c r="J79" t="s">
        <v>23</v>
      </c>
    </row>
    <row r="80" spans="1:10" x14ac:dyDescent="0.2">
      <c r="A80" s="49" t="s">
        <v>0</v>
      </c>
      <c r="B80" s="1" t="s">
        <v>1</v>
      </c>
      <c r="H80">
        <f>HLOOKUP($H$79,$C$79:$G$88,2,0)</f>
        <v>0</v>
      </c>
      <c r="I80" t="str">
        <f>IF(H80="x","yes","no")</f>
        <v>no</v>
      </c>
      <c r="J80" t="s">
        <v>34</v>
      </c>
    </row>
    <row r="81" spans="1:10" x14ac:dyDescent="0.2">
      <c r="A81" s="49"/>
      <c r="B81" s="1" t="s">
        <v>2</v>
      </c>
      <c r="H81">
        <f>HLOOKUP($H$79,$C$79:$G$88,3,0)</f>
        <v>0</v>
      </c>
      <c r="I81" t="str">
        <f t="shared" ref="I81:I88" si="5">IF(H81="x","yes","no")</f>
        <v>no</v>
      </c>
      <c r="J81" t="s">
        <v>35</v>
      </c>
    </row>
    <row r="82" spans="1:10" x14ac:dyDescent="0.2">
      <c r="A82" s="49"/>
      <c r="B82" s="1" t="s">
        <v>3</v>
      </c>
      <c r="H82">
        <f>HLOOKUP($H$79,$C$79:$G$88,4,0)</f>
        <v>0</v>
      </c>
      <c r="I82" t="str">
        <f t="shared" si="5"/>
        <v>no</v>
      </c>
      <c r="J82" t="s">
        <v>36</v>
      </c>
    </row>
    <row r="83" spans="1:10" x14ac:dyDescent="0.2">
      <c r="A83" s="47" t="s">
        <v>4</v>
      </c>
      <c r="B83" s="2" t="s">
        <v>5</v>
      </c>
      <c r="C83" t="s">
        <v>17</v>
      </c>
      <c r="D83" t="s">
        <v>17</v>
      </c>
      <c r="E83" t="s">
        <v>17</v>
      </c>
      <c r="F83" t="s">
        <v>17</v>
      </c>
      <c r="G83" t="s">
        <v>17</v>
      </c>
      <c r="H83" t="str">
        <f>HLOOKUP($H$79,$C$79:$G$88,5,0)</f>
        <v>x</v>
      </c>
      <c r="I83" t="str">
        <f t="shared" si="5"/>
        <v>yes</v>
      </c>
      <c r="J83" t="s">
        <v>37</v>
      </c>
    </row>
    <row r="84" spans="1:10" x14ac:dyDescent="0.2">
      <c r="A84" s="47"/>
      <c r="B84" s="2" t="s">
        <v>6</v>
      </c>
      <c r="C84" t="s">
        <v>17</v>
      </c>
      <c r="D84" t="s">
        <v>17</v>
      </c>
      <c r="F84" t="s">
        <v>17</v>
      </c>
      <c r="H84" t="str">
        <f>HLOOKUP($H$79,$C$79:$G$88,6,0)</f>
        <v>x</v>
      </c>
      <c r="I84" t="str">
        <f t="shared" si="5"/>
        <v>yes</v>
      </c>
      <c r="J84" t="s">
        <v>38</v>
      </c>
    </row>
    <row r="85" spans="1:10" x14ac:dyDescent="0.2">
      <c r="A85" s="47"/>
      <c r="B85" s="2" t="s">
        <v>7</v>
      </c>
      <c r="H85">
        <f>HLOOKUP($H$79,$C$79:$G$88,7,0)</f>
        <v>0</v>
      </c>
      <c r="I85" t="str">
        <f t="shared" si="5"/>
        <v>no</v>
      </c>
    </row>
    <row r="86" spans="1:10" x14ac:dyDescent="0.2">
      <c r="A86" s="48" t="s">
        <v>8</v>
      </c>
      <c r="B86" s="3" t="s">
        <v>9</v>
      </c>
      <c r="H86">
        <f>HLOOKUP($H$79,$C$79:$G$88,8,0)</f>
        <v>0</v>
      </c>
      <c r="I86" t="str">
        <f t="shared" si="5"/>
        <v>no</v>
      </c>
    </row>
    <row r="87" spans="1:10" x14ac:dyDescent="0.2">
      <c r="A87" s="48"/>
      <c r="B87" s="3" t="s">
        <v>10</v>
      </c>
      <c r="H87">
        <f>HLOOKUP($H$79,$C$79:$G$88,9,0)</f>
        <v>0</v>
      </c>
      <c r="I87" t="str">
        <f t="shared" si="5"/>
        <v>no</v>
      </c>
    </row>
    <row r="88" spans="1:10" x14ac:dyDescent="0.2">
      <c r="A88" s="48"/>
      <c r="B88" s="3" t="s">
        <v>11</v>
      </c>
      <c r="H88">
        <f>HLOOKUP($H$79,$C$79:$G$88,10,0)</f>
        <v>0</v>
      </c>
      <c r="I88" t="str">
        <f t="shared" si="5"/>
        <v>no</v>
      </c>
    </row>
  </sheetData>
  <mergeCells count="21">
    <mergeCell ref="A7:A9"/>
    <mergeCell ref="A10:A12"/>
    <mergeCell ref="A13:A15"/>
    <mergeCell ref="A20:A22"/>
    <mergeCell ref="A56:A58"/>
    <mergeCell ref="A38:A40"/>
    <mergeCell ref="A44:A46"/>
    <mergeCell ref="A23:A25"/>
    <mergeCell ref="A26:A28"/>
    <mergeCell ref="A32:A34"/>
    <mergeCell ref="A35:A37"/>
    <mergeCell ref="A59:A61"/>
    <mergeCell ref="A62:A64"/>
    <mergeCell ref="A68:A70"/>
    <mergeCell ref="A47:A49"/>
    <mergeCell ref="A50:A52"/>
    <mergeCell ref="A86:A88"/>
    <mergeCell ref="A71:A73"/>
    <mergeCell ref="A74:A76"/>
    <mergeCell ref="A80:A82"/>
    <mergeCell ref="A83:A85"/>
  </mergeCells>
  <phoneticPr fontId="3" type="noConversion"/>
  <pageMargins left="0.75" right="0.75" top="1" bottom="1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2:K70"/>
  <sheetViews>
    <sheetView topLeftCell="A7" workbookViewId="0">
      <selection activeCell="A27" sqref="A27"/>
    </sheetView>
  </sheetViews>
  <sheetFormatPr defaultColWidth="11.42578125" defaultRowHeight="12.75" x14ac:dyDescent="0.2"/>
  <sheetData>
    <row r="2" spans="1:11" x14ac:dyDescent="0.2">
      <c r="I2" t="s">
        <v>53</v>
      </c>
      <c r="J2" t="s">
        <v>60</v>
      </c>
    </row>
    <row r="3" spans="1:11" x14ac:dyDescent="0.2">
      <c r="A3" t="s">
        <v>77</v>
      </c>
      <c r="B3" t="s">
        <v>59</v>
      </c>
      <c r="C3" t="s">
        <v>57</v>
      </c>
      <c r="D3" t="s">
        <v>80</v>
      </c>
      <c r="E3" t="s">
        <v>55</v>
      </c>
      <c r="F3" t="s">
        <v>78</v>
      </c>
      <c r="G3" t="s">
        <v>79</v>
      </c>
      <c r="I3" t="str">
        <f>'front-end details'!B15</f>
        <v>up to 100V</v>
      </c>
    </row>
    <row r="4" spans="1:11" x14ac:dyDescent="0.2">
      <c r="A4" t="s">
        <v>69</v>
      </c>
      <c r="B4" t="s">
        <v>17</v>
      </c>
      <c r="C4" t="s">
        <v>17</v>
      </c>
      <c r="I4" t="str">
        <f>HLOOKUP($I$3,$B$3:$G$12,2,0)</f>
        <v>x</v>
      </c>
      <c r="J4" t="str">
        <f>IF(I4="x","yes","no")</f>
        <v>yes</v>
      </c>
    </row>
    <row r="5" spans="1:11" x14ac:dyDescent="0.2">
      <c r="A5" t="s">
        <v>70</v>
      </c>
      <c r="B5" t="s">
        <v>17</v>
      </c>
      <c r="C5" t="s">
        <v>17</v>
      </c>
      <c r="I5" t="str">
        <f>HLOOKUP($I$3,$B$3:$G$12,3,0)</f>
        <v>x</v>
      </c>
      <c r="J5" t="str">
        <f t="shared" ref="J5:J12" si="0">IF(I5="x","yes","no")</f>
        <v>yes</v>
      </c>
    </row>
    <row r="6" spans="1:11" x14ac:dyDescent="0.2">
      <c r="A6" t="s">
        <v>86</v>
      </c>
      <c r="B6" t="s">
        <v>17</v>
      </c>
      <c r="C6" t="s">
        <v>17</v>
      </c>
      <c r="D6" t="s">
        <v>17</v>
      </c>
      <c r="I6" t="str">
        <f>HLOOKUP($I$3,$B$3:$G$12,4,0)</f>
        <v>x</v>
      </c>
      <c r="J6" t="str">
        <f t="shared" si="0"/>
        <v>yes</v>
      </c>
    </row>
    <row r="7" spans="1:11" x14ac:dyDescent="0.2">
      <c r="A7" t="s">
        <v>71</v>
      </c>
      <c r="B7" t="s">
        <v>17</v>
      </c>
      <c r="C7" t="s">
        <v>17</v>
      </c>
      <c r="D7" t="s">
        <v>17</v>
      </c>
      <c r="I7" t="str">
        <f>HLOOKUP($I$3,$B$3:$G$12,4,0)</f>
        <v>x</v>
      </c>
      <c r="J7" t="str">
        <f t="shared" si="0"/>
        <v>yes</v>
      </c>
    </row>
    <row r="8" spans="1:11" x14ac:dyDescent="0.2">
      <c r="A8" t="s">
        <v>72</v>
      </c>
      <c r="B8" t="s">
        <v>17</v>
      </c>
      <c r="C8" t="s">
        <v>17</v>
      </c>
      <c r="D8" t="s">
        <v>17</v>
      </c>
      <c r="I8" t="str">
        <f>HLOOKUP($I$3,$B$3:$G$12,5,0)</f>
        <v>x</v>
      </c>
      <c r="J8" t="str">
        <f t="shared" si="0"/>
        <v>yes</v>
      </c>
    </row>
    <row r="9" spans="1:11" x14ac:dyDescent="0.2">
      <c r="A9" t="s">
        <v>73</v>
      </c>
      <c r="B9" t="s">
        <v>17</v>
      </c>
      <c r="C9" t="s">
        <v>17</v>
      </c>
      <c r="D9" t="s">
        <v>17</v>
      </c>
      <c r="E9" t="s">
        <v>17</v>
      </c>
      <c r="I9" t="str">
        <f>HLOOKUP($I$3,$B$3:$G$12,6,0)</f>
        <v>x</v>
      </c>
      <c r="J9" t="str">
        <f t="shared" si="0"/>
        <v>yes</v>
      </c>
    </row>
    <row r="10" spans="1:11" x14ac:dyDescent="0.2">
      <c r="A10" t="s">
        <v>74</v>
      </c>
      <c r="B10" t="s">
        <v>17</v>
      </c>
      <c r="C10" t="s">
        <v>17</v>
      </c>
      <c r="D10" t="s">
        <v>17</v>
      </c>
      <c r="E10" t="s">
        <v>17</v>
      </c>
      <c r="I10" t="str">
        <f>HLOOKUP($I$3,$B$3:$G$12,7,0)</f>
        <v>x</v>
      </c>
      <c r="J10" t="str">
        <f t="shared" si="0"/>
        <v>yes</v>
      </c>
    </row>
    <row r="11" spans="1:11" x14ac:dyDescent="0.2">
      <c r="A11" t="s">
        <v>75</v>
      </c>
      <c r="B11" t="s">
        <v>17</v>
      </c>
      <c r="C11" t="s">
        <v>17</v>
      </c>
      <c r="D11" t="s">
        <v>17</v>
      </c>
      <c r="E11" t="s">
        <v>17</v>
      </c>
      <c r="F11" t="s">
        <v>17</v>
      </c>
      <c r="I11" t="str">
        <f>HLOOKUP($I$3,$B$3:$G$12,8,0)</f>
        <v>x</v>
      </c>
      <c r="J11" t="str">
        <f t="shared" si="0"/>
        <v>yes</v>
      </c>
    </row>
    <row r="12" spans="1:11" x14ac:dyDescent="0.2">
      <c r="A12" t="s">
        <v>76</v>
      </c>
      <c r="B12" t="s">
        <v>17</v>
      </c>
      <c r="C12" t="s">
        <v>17</v>
      </c>
      <c r="D12" t="s">
        <v>17</v>
      </c>
      <c r="E12" t="s">
        <v>17</v>
      </c>
      <c r="F12" t="s">
        <v>17</v>
      </c>
      <c r="G12" t="s">
        <v>17</v>
      </c>
      <c r="I12" t="str">
        <f>HLOOKUP($I$3,$B$3:$G$12,9,0)</f>
        <v>x</v>
      </c>
      <c r="J12" t="str">
        <f t="shared" si="0"/>
        <v>yes</v>
      </c>
    </row>
    <row r="14" spans="1:11" x14ac:dyDescent="0.2">
      <c r="J14" t="s">
        <v>53</v>
      </c>
      <c r="K14" t="s">
        <v>60</v>
      </c>
    </row>
    <row r="15" spans="1:11" x14ac:dyDescent="0.2">
      <c r="A15" t="s">
        <v>61</v>
      </c>
      <c r="B15" t="s">
        <v>40</v>
      </c>
      <c r="C15" t="s">
        <v>81</v>
      </c>
      <c r="D15" t="s">
        <v>28</v>
      </c>
      <c r="E15" t="s">
        <v>82</v>
      </c>
      <c r="F15" t="s">
        <v>83</v>
      </c>
      <c r="G15" t="s">
        <v>84</v>
      </c>
      <c r="H15" t="s">
        <v>85</v>
      </c>
      <c r="J15" t="str">
        <f>'front-end details'!B22</f>
        <v>up to 16A</v>
      </c>
    </row>
    <row r="16" spans="1:11" x14ac:dyDescent="0.2">
      <c r="A16" t="s">
        <v>69</v>
      </c>
      <c r="B16" t="s">
        <v>17</v>
      </c>
      <c r="C16" t="s">
        <v>17</v>
      </c>
      <c r="D16" t="s">
        <v>17</v>
      </c>
      <c r="J16" t="str">
        <f>HLOOKUP($J$15,$B$15:$H$24,2,0)</f>
        <v>x</v>
      </c>
      <c r="K16" t="str">
        <f>IF(J16="x","yes","no")</f>
        <v>yes</v>
      </c>
    </row>
    <row r="17" spans="1:11" x14ac:dyDescent="0.2">
      <c r="A17" t="s">
        <v>70</v>
      </c>
      <c r="B17" t="s">
        <v>17</v>
      </c>
      <c r="C17" t="s">
        <v>17</v>
      </c>
      <c r="J17">
        <f>HLOOKUP($J$15,$B$15:$H$24,3,0)</f>
        <v>0</v>
      </c>
      <c r="K17" t="str">
        <f t="shared" ref="K17:K24" si="1">IF(J17="x","yes","no")</f>
        <v>no</v>
      </c>
    </row>
    <row r="18" spans="1:11" x14ac:dyDescent="0.2">
      <c r="A18" t="s">
        <v>86</v>
      </c>
      <c r="B18" t="s">
        <v>17</v>
      </c>
      <c r="C18" t="s">
        <v>17</v>
      </c>
      <c r="D18" t="s">
        <v>17</v>
      </c>
      <c r="E18" t="s">
        <v>17</v>
      </c>
      <c r="J18" t="str">
        <f>HLOOKUP($J$15,$B$15:$H$24,4,0)</f>
        <v>x</v>
      </c>
      <c r="K18" t="str">
        <f t="shared" si="1"/>
        <v>yes</v>
      </c>
    </row>
    <row r="19" spans="1:11" x14ac:dyDescent="0.2">
      <c r="A19" t="s">
        <v>71</v>
      </c>
      <c r="B19" t="s">
        <v>17</v>
      </c>
      <c r="C19" t="s">
        <v>17</v>
      </c>
      <c r="D19" t="s">
        <v>17</v>
      </c>
      <c r="J19" t="str">
        <f>HLOOKUP($J$15,$B$15:$H$24,5,0)</f>
        <v>x</v>
      </c>
      <c r="K19" t="str">
        <f t="shared" si="1"/>
        <v>yes</v>
      </c>
    </row>
    <row r="20" spans="1:11" x14ac:dyDescent="0.2">
      <c r="A20" t="s">
        <v>72</v>
      </c>
      <c r="B20" t="s">
        <v>17</v>
      </c>
      <c r="C20" t="s">
        <v>17</v>
      </c>
      <c r="D20" t="s">
        <v>17</v>
      </c>
      <c r="J20" t="str">
        <f>HLOOKUP($J$15,$B$15:$H$24,6,0)</f>
        <v>x</v>
      </c>
      <c r="K20" t="str">
        <f t="shared" si="1"/>
        <v>yes</v>
      </c>
    </row>
    <row r="21" spans="1:11" x14ac:dyDescent="0.2">
      <c r="A21" t="s">
        <v>73</v>
      </c>
      <c r="B21" t="s">
        <v>17</v>
      </c>
      <c r="C21" t="s">
        <v>17</v>
      </c>
      <c r="D21" t="s">
        <v>17</v>
      </c>
      <c r="J21" t="str">
        <f>HLOOKUP($J$15,$B$15:$H$24,7,0)</f>
        <v>x</v>
      </c>
      <c r="K21" t="str">
        <f t="shared" si="1"/>
        <v>yes</v>
      </c>
    </row>
    <row r="22" spans="1:11" x14ac:dyDescent="0.2">
      <c r="A22" t="s">
        <v>74</v>
      </c>
      <c r="B22" t="s">
        <v>17</v>
      </c>
      <c r="C22" t="s">
        <v>17</v>
      </c>
      <c r="D22" t="s">
        <v>17</v>
      </c>
      <c r="E22" t="s">
        <v>17</v>
      </c>
      <c r="F22" t="s">
        <v>17</v>
      </c>
      <c r="G22" t="s">
        <v>17</v>
      </c>
      <c r="J22" t="str">
        <f>HLOOKUP($J$15,$B$15:$H$24,8,0)</f>
        <v>x</v>
      </c>
      <c r="K22" t="str">
        <f t="shared" si="1"/>
        <v>yes</v>
      </c>
    </row>
    <row r="23" spans="1:11" x14ac:dyDescent="0.2">
      <c r="A23" t="s">
        <v>75</v>
      </c>
      <c r="B23" t="s">
        <v>17</v>
      </c>
      <c r="C23" t="s">
        <v>17</v>
      </c>
      <c r="D23" t="s">
        <v>17</v>
      </c>
      <c r="E23" t="s">
        <v>17</v>
      </c>
      <c r="F23" t="s">
        <v>17</v>
      </c>
      <c r="J23" t="str">
        <f>HLOOKUP($J$15,$B$15:$H$24,9,0)</f>
        <v>x</v>
      </c>
      <c r="K23" t="str">
        <f t="shared" si="1"/>
        <v>yes</v>
      </c>
    </row>
    <row r="24" spans="1:11" x14ac:dyDescent="0.2">
      <c r="A24" t="s">
        <v>76</v>
      </c>
      <c r="B24" t="s">
        <v>17</v>
      </c>
      <c r="C24" t="s">
        <v>17</v>
      </c>
      <c r="D24" t="s">
        <v>17</v>
      </c>
      <c r="E24" t="s">
        <v>17</v>
      </c>
      <c r="F24" t="s">
        <v>17</v>
      </c>
      <c r="G24" t="s">
        <v>17</v>
      </c>
      <c r="H24" t="s">
        <v>17</v>
      </c>
      <c r="J24" t="str">
        <f>HLOOKUP($J$15,$B$15:$H$24,10,0)</f>
        <v>x</v>
      </c>
      <c r="K24" t="str">
        <f t="shared" si="1"/>
        <v>yes</v>
      </c>
    </row>
    <row r="27" spans="1:11" x14ac:dyDescent="0.2">
      <c r="A27" t="s">
        <v>62</v>
      </c>
      <c r="B27" t="s">
        <v>88</v>
      </c>
      <c r="C27" t="s">
        <v>89</v>
      </c>
      <c r="D27" t="s">
        <v>32</v>
      </c>
    </row>
    <row r="28" spans="1:11" x14ac:dyDescent="0.2">
      <c r="A28" t="s">
        <v>69</v>
      </c>
      <c r="B28" t="s">
        <v>17</v>
      </c>
    </row>
    <row r="29" spans="1:11" x14ac:dyDescent="0.2">
      <c r="A29" t="s">
        <v>70</v>
      </c>
      <c r="B29" t="s">
        <v>17</v>
      </c>
    </row>
    <row r="30" spans="1:11" x14ac:dyDescent="0.2">
      <c r="A30" t="s">
        <v>86</v>
      </c>
      <c r="B30" t="s">
        <v>17</v>
      </c>
      <c r="C30" t="s">
        <v>17</v>
      </c>
      <c r="D30" t="s">
        <v>17</v>
      </c>
    </row>
    <row r="31" spans="1:11" x14ac:dyDescent="0.2">
      <c r="A31" t="s">
        <v>71</v>
      </c>
      <c r="B31" t="s">
        <v>17</v>
      </c>
    </row>
    <row r="32" spans="1:11" x14ac:dyDescent="0.2">
      <c r="A32" t="s">
        <v>72</v>
      </c>
      <c r="C32" t="s">
        <v>17</v>
      </c>
    </row>
    <row r="33" spans="1:3" x14ac:dyDescent="0.2">
      <c r="A33" t="s">
        <v>73</v>
      </c>
      <c r="B33" t="s">
        <v>17</v>
      </c>
    </row>
    <row r="34" spans="1:3" x14ac:dyDescent="0.2">
      <c r="A34" t="s">
        <v>74</v>
      </c>
      <c r="B34" t="s">
        <v>17</v>
      </c>
      <c r="C34" t="s">
        <v>17</v>
      </c>
    </row>
    <row r="35" spans="1:3" x14ac:dyDescent="0.2">
      <c r="A35" t="s">
        <v>75</v>
      </c>
    </row>
    <row r="36" spans="1:3" x14ac:dyDescent="0.2">
      <c r="A36" t="s">
        <v>76</v>
      </c>
    </row>
    <row r="38" spans="1:3" x14ac:dyDescent="0.2">
      <c r="A38" t="s">
        <v>87</v>
      </c>
      <c r="B38" t="s">
        <v>90</v>
      </c>
      <c r="C38" t="s">
        <v>91</v>
      </c>
    </row>
    <row r="39" spans="1:3" x14ac:dyDescent="0.2">
      <c r="A39" t="s">
        <v>69</v>
      </c>
      <c r="B39">
        <v>7</v>
      </c>
      <c r="C39">
        <v>128</v>
      </c>
    </row>
    <row r="40" spans="1:3" x14ac:dyDescent="0.2">
      <c r="A40" t="s">
        <v>70</v>
      </c>
      <c r="B40">
        <v>24</v>
      </c>
      <c r="C40">
        <v>216</v>
      </c>
    </row>
    <row r="41" spans="1:3" x14ac:dyDescent="0.2">
      <c r="A41" t="s">
        <v>86</v>
      </c>
      <c r="B41">
        <v>6</v>
      </c>
      <c r="C41">
        <v>48</v>
      </c>
    </row>
    <row r="42" spans="1:3" x14ac:dyDescent="0.2">
      <c r="A42" t="s">
        <v>71</v>
      </c>
      <c r="B42">
        <v>10</v>
      </c>
      <c r="C42">
        <v>92</v>
      </c>
    </row>
    <row r="43" spans="1:3" x14ac:dyDescent="0.2">
      <c r="A43" t="s">
        <v>72</v>
      </c>
      <c r="B43">
        <v>3</v>
      </c>
      <c r="C43">
        <v>32</v>
      </c>
    </row>
    <row r="44" spans="1:3" x14ac:dyDescent="0.2">
      <c r="A44" t="s">
        <v>73</v>
      </c>
      <c r="B44">
        <v>5</v>
      </c>
      <c r="C44">
        <v>7</v>
      </c>
    </row>
    <row r="45" spans="1:3" x14ac:dyDescent="0.2">
      <c r="A45" t="s">
        <v>74</v>
      </c>
      <c r="B45">
        <v>4</v>
      </c>
      <c r="C45">
        <v>40</v>
      </c>
    </row>
    <row r="46" spans="1:3" x14ac:dyDescent="0.2">
      <c r="A46" t="s">
        <v>75</v>
      </c>
    </row>
    <row r="47" spans="1:3" x14ac:dyDescent="0.2">
      <c r="A47" t="s">
        <v>76</v>
      </c>
    </row>
    <row r="49" spans="1:7" x14ac:dyDescent="0.2">
      <c r="A49" t="s">
        <v>92</v>
      </c>
      <c r="B49" t="s">
        <v>93</v>
      </c>
      <c r="C49" t="s">
        <v>94</v>
      </c>
    </row>
    <row r="50" spans="1:7" x14ac:dyDescent="0.2">
      <c r="A50" t="s">
        <v>69</v>
      </c>
      <c r="B50" t="s">
        <v>17</v>
      </c>
    </row>
    <row r="51" spans="1:7" x14ac:dyDescent="0.2">
      <c r="A51" t="s">
        <v>70</v>
      </c>
      <c r="C51" t="s">
        <v>17</v>
      </c>
    </row>
    <row r="52" spans="1:7" x14ac:dyDescent="0.2">
      <c r="A52" t="s">
        <v>86</v>
      </c>
      <c r="C52" t="s">
        <v>17</v>
      </c>
    </row>
    <row r="53" spans="1:7" x14ac:dyDescent="0.2">
      <c r="A53" t="s">
        <v>71</v>
      </c>
      <c r="C53" t="s">
        <v>17</v>
      </c>
    </row>
    <row r="54" spans="1:7" x14ac:dyDescent="0.2">
      <c r="A54" t="s">
        <v>72</v>
      </c>
      <c r="C54" t="s">
        <v>17</v>
      </c>
    </row>
    <row r="55" spans="1:7" x14ac:dyDescent="0.2">
      <c r="A55" t="s">
        <v>73</v>
      </c>
      <c r="C55" t="s">
        <v>17</v>
      </c>
    </row>
    <row r="56" spans="1:7" x14ac:dyDescent="0.2">
      <c r="A56" t="s">
        <v>74</v>
      </c>
      <c r="C56" t="s">
        <v>17</v>
      </c>
    </row>
    <row r="57" spans="1:7" x14ac:dyDescent="0.2">
      <c r="A57" t="s">
        <v>75</v>
      </c>
      <c r="B57" t="s">
        <v>17</v>
      </c>
    </row>
    <row r="58" spans="1:7" x14ac:dyDescent="0.2">
      <c r="A58" t="s">
        <v>76</v>
      </c>
      <c r="B58" t="s">
        <v>17</v>
      </c>
    </row>
    <row r="60" spans="1:7" x14ac:dyDescent="0.2">
      <c r="F60" t="s">
        <v>53</v>
      </c>
      <c r="G60" t="s">
        <v>60</v>
      </c>
    </row>
    <row r="61" spans="1:7" x14ac:dyDescent="0.2">
      <c r="A61" t="s">
        <v>51</v>
      </c>
      <c r="B61" t="s">
        <v>14</v>
      </c>
      <c r="C61" t="s">
        <v>15</v>
      </c>
      <c r="D61" t="s">
        <v>16</v>
      </c>
      <c r="E61" t="s">
        <v>96</v>
      </c>
      <c r="F61" t="str">
        <f>'front-end details'!B8</f>
        <v>IP67</v>
      </c>
    </row>
    <row r="62" spans="1:7" x14ac:dyDescent="0.2">
      <c r="A62" t="s">
        <v>69</v>
      </c>
      <c r="B62" t="s">
        <v>17</v>
      </c>
      <c r="C62" t="s">
        <v>17</v>
      </c>
      <c r="D62" t="s">
        <v>17</v>
      </c>
      <c r="E62" t="s">
        <v>17</v>
      </c>
      <c r="F62" t="str">
        <f>HLOOKUP($F$61,$B$61:$E$70,2,0)</f>
        <v>x</v>
      </c>
      <c r="G62" t="str">
        <f>IF(F62="x","yes","no")</f>
        <v>yes</v>
      </c>
    </row>
    <row r="63" spans="1:7" x14ac:dyDescent="0.2">
      <c r="A63" t="s">
        <v>70</v>
      </c>
      <c r="B63" t="s">
        <v>17</v>
      </c>
      <c r="C63" t="s">
        <v>17</v>
      </c>
      <c r="D63" t="s">
        <v>17</v>
      </c>
      <c r="E63" t="s">
        <v>17</v>
      </c>
      <c r="F63" t="str">
        <f>HLOOKUP($F$61,$B$61:$E$70,3,0)</f>
        <v>x</v>
      </c>
      <c r="G63" t="str">
        <f t="shared" ref="G63:G70" si="2">IF(F63="x","yes","no")</f>
        <v>yes</v>
      </c>
    </row>
    <row r="64" spans="1:7" x14ac:dyDescent="0.2">
      <c r="A64" t="s">
        <v>86</v>
      </c>
      <c r="B64" t="s">
        <v>17</v>
      </c>
      <c r="C64" t="s">
        <v>17</v>
      </c>
      <c r="D64" t="s">
        <v>17</v>
      </c>
      <c r="E64" t="s">
        <v>17</v>
      </c>
      <c r="F64" t="str">
        <f>HLOOKUP($F$61,$B$61:$E$70,4,0)</f>
        <v>x</v>
      </c>
      <c r="G64" t="str">
        <f t="shared" si="2"/>
        <v>yes</v>
      </c>
    </row>
    <row r="65" spans="1:7" x14ac:dyDescent="0.2">
      <c r="A65" t="s">
        <v>71</v>
      </c>
      <c r="B65" t="s">
        <v>17</v>
      </c>
      <c r="C65" t="s">
        <v>17</v>
      </c>
      <c r="D65" t="s">
        <v>17</v>
      </c>
      <c r="E65" t="s">
        <v>17</v>
      </c>
      <c r="F65" t="str">
        <f>HLOOKUP($F$61,$B$61:$E$70,5,0)</f>
        <v>x</v>
      </c>
      <c r="G65" t="str">
        <f t="shared" si="2"/>
        <v>yes</v>
      </c>
    </row>
    <row r="66" spans="1:7" x14ac:dyDescent="0.2">
      <c r="A66" t="s">
        <v>72</v>
      </c>
      <c r="B66" t="s">
        <v>17</v>
      </c>
      <c r="C66" t="s">
        <v>17</v>
      </c>
      <c r="D66" t="s">
        <v>17</v>
      </c>
      <c r="E66" t="s">
        <v>17</v>
      </c>
      <c r="F66" t="str">
        <f>HLOOKUP($F$61,$B$61:$E$70,6,0)</f>
        <v>x</v>
      </c>
      <c r="G66" t="str">
        <f t="shared" si="2"/>
        <v>yes</v>
      </c>
    </row>
    <row r="67" spans="1:7" x14ac:dyDescent="0.2">
      <c r="A67" t="s">
        <v>73</v>
      </c>
      <c r="B67" t="s">
        <v>17</v>
      </c>
      <c r="C67" t="s">
        <v>17</v>
      </c>
      <c r="D67" t="s">
        <v>17</v>
      </c>
      <c r="E67" t="s">
        <v>17</v>
      </c>
      <c r="F67" t="str">
        <f>HLOOKUP($F$61,$B$61:$E$70,7,0)</f>
        <v>x</v>
      </c>
      <c r="G67" t="str">
        <f t="shared" si="2"/>
        <v>yes</v>
      </c>
    </row>
    <row r="68" spans="1:7" x14ac:dyDescent="0.2">
      <c r="A68" t="s">
        <v>74</v>
      </c>
      <c r="B68" t="s">
        <v>17</v>
      </c>
      <c r="C68" t="s">
        <v>17</v>
      </c>
      <c r="D68" t="s">
        <v>17</v>
      </c>
      <c r="E68" t="s">
        <v>17</v>
      </c>
      <c r="F68" t="str">
        <f>HLOOKUP($F$61,$B$61:$E$70,8,0)</f>
        <v>x</v>
      </c>
      <c r="G68" t="str">
        <f t="shared" si="2"/>
        <v>yes</v>
      </c>
    </row>
    <row r="69" spans="1:7" x14ac:dyDescent="0.2">
      <c r="A69" t="s">
        <v>75</v>
      </c>
      <c r="B69" t="s">
        <v>17</v>
      </c>
      <c r="C69" t="s">
        <v>17</v>
      </c>
      <c r="D69" t="s">
        <v>17</v>
      </c>
      <c r="E69" t="s">
        <v>17</v>
      </c>
      <c r="F69" t="str">
        <f>HLOOKUP($F$61,$B$61:$E$70,9,0)</f>
        <v>x</v>
      </c>
      <c r="G69" t="str">
        <f t="shared" si="2"/>
        <v>yes</v>
      </c>
    </row>
    <row r="70" spans="1:7" x14ac:dyDescent="0.2">
      <c r="A70" t="s">
        <v>76</v>
      </c>
      <c r="B70" t="s">
        <v>17</v>
      </c>
      <c r="C70" t="s">
        <v>17</v>
      </c>
      <c r="D70" t="s">
        <v>17</v>
      </c>
      <c r="E70" t="s">
        <v>17</v>
      </c>
      <c r="F70" t="str">
        <f>HLOOKUP($F$61,$B$61:$E$70,10,0)</f>
        <v>x</v>
      </c>
      <c r="G70" t="str">
        <f t="shared" si="2"/>
        <v>yes</v>
      </c>
    </row>
  </sheetData>
  <phoneticPr fontId="3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Tabelle1</vt:lpstr>
      <vt:lpstr>master front end</vt:lpstr>
      <vt:lpstr>certification</vt:lpstr>
      <vt:lpstr>current</vt:lpstr>
      <vt:lpstr>IP</vt:lpstr>
      <vt:lpstr>termination</vt:lpstr>
      <vt:lpstr>voltage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Richard Zaleuke</cp:lastModifiedBy>
  <dcterms:created xsi:type="dcterms:W3CDTF">1996-10-17T05:27:31Z</dcterms:created>
  <dcterms:modified xsi:type="dcterms:W3CDTF">2015-01-21T17:42:24Z</dcterms:modified>
</cp:coreProperties>
</file>